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24226"/>
  <mc:AlternateContent xmlns:mc="http://schemas.openxmlformats.org/markup-compatibility/2006">
    <mc:Choice Requires="x15">
      <x15ac:absPath xmlns:x15ac="http://schemas.microsoft.com/office/spreadsheetml/2010/11/ac" url="D:\J.Metodieva\Documents\JM\OPOS 2021-2027\Waste\GUIDANCES Waste\Aktualizasia Rakovodstvo 2011\Aktualizasia final\"/>
    </mc:Choice>
  </mc:AlternateContent>
  <xr:revisionPtr revIDLastSave="0" documentId="13_ncr:1_{B918EE10-6BED-486B-900D-E76A001D7F2C}" xr6:coauthVersionLast="47" xr6:coauthVersionMax="47" xr10:uidLastSave="{00000000-0000-0000-0000-000000000000}"/>
  <bookViews>
    <workbookView xWindow="1905" yWindow="1875" windowWidth="19605" windowHeight="12960" firstSheet="1" activeTab="4" xr2:uid="{00000000-000D-0000-FFFF-FFFF00000000}"/>
  </bookViews>
  <sheets>
    <sheet name="Указания" sheetId="39" r:id="rId1"/>
    <sheet name="Изходни данни" sheetId="24" r:id="rId2"/>
    <sheet name="Допускания" sheetId="37" r:id="rId3"/>
    <sheet name="Резултати" sheetId="36" r:id="rId4"/>
    <sheet name="Контейнери&amp;автомобили" sheetId="26" r:id="rId5"/>
    <sheet name="Масов баланс" sheetId="14" r:id="rId6"/>
  </sheets>
  <definedNames>
    <definedName name="_xlnm.Print_Area" localSheetId="2">Допускания!$A$1:$D$59</definedName>
    <definedName name="_xlnm.Print_Area" localSheetId="1">'Изходни данни'!$A$1:$N$18</definedName>
    <definedName name="_xlnm.Print_Area" localSheetId="4">'Контейнери&amp;автомобили'!$A$1:$P$634</definedName>
    <definedName name="_xlnm.Print_Area" localSheetId="5">'Масов баланс'!$A$4:$P$360</definedName>
    <definedName name="_xlnm.Print_Area" localSheetId="3">Резултати!$A$1:$N$68</definedName>
    <definedName name="_xlnm.Print_Titles" localSheetId="4">'Контейнери&amp;автомобили'!$4:$4</definedName>
    <definedName name="_xlnm.Print_Titles" localSheetId="5">'Масов баланс'!$4:$5</definedName>
    <definedName name="_xlnm.Print_Titles" localSheetId="3">Резултати!$4:$4</definedName>
  </definedNames>
  <calcPr calcId="191029" iterate="1" iterateCount="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357" i="14" l="1"/>
  <c r="O357" i="14"/>
  <c r="N357" i="14"/>
  <c r="M357" i="14"/>
  <c r="L357" i="14"/>
  <c r="K357" i="14"/>
  <c r="J357" i="14"/>
  <c r="I357" i="14"/>
  <c r="H357" i="14"/>
  <c r="G357" i="14"/>
  <c r="F357" i="14"/>
  <c r="E357" i="14"/>
  <c r="P356" i="14"/>
  <c r="O356" i="14"/>
  <c r="N356" i="14"/>
  <c r="M356" i="14"/>
  <c r="L356" i="14"/>
  <c r="K356" i="14"/>
  <c r="J356" i="14"/>
  <c r="I356" i="14"/>
  <c r="H356" i="14"/>
  <c r="G356" i="14"/>
  <c r="F356" i="14"/>
  <c r="E356" i="14"/>
  <c r="P355" i="14"/>
  <c r="O355" i="14"/>
  <c r="N355" i="14"/>
  <c r="M355" i="14"/>
  <c r="L355" i="14"/>
  <c r="K355" i="14"/>
  <c r="J355" i="14"/>
  <c r="I355" i="14"/>
  <c r="H355" i="14"/>
  <c r="G355" i="14"/>
  <c r="F355" i="14"/>
  <c r="E355" i="14"/>
  <c r="P354" i="14"/>
  <c r="O354" i="14"/>
  <c r="N354" i="14"/>
  <c r="M354" i="14"/>
  <c r="L354" i="14"/>
  <c r="K354" i="14"/>
  <c r="J354" i="14"/>
  <c r="I354" i="14"/>
  <c r="H354" i="14"/>
  <c r="G354" i="14"/>
  <c r="F354" i="14"/>
  <c r="E354" i="14"/>
  <c r="P353" i="14"/>
  <c r="O353" i="14"/>
  <c r="N353" i="14"/>
  <c r="M353" i="14"/>
  <c r="L353" i="14"/>
  <c r="K353" i="14"/>
  <c r="J353" i="14"/>
  <c r="I353" i="14"/>
  <c r="H353" i="14"/>
  <c r="G353" i="14"/>
  <c r="F353" i="14"/>
  <c r="E353" i="14"/>
  <c r="P352" i="14"/>
  <c r="O352" i="14"/>
  <c r="N352" i="14"/>
  <c r="M352" i="14"/>
  <c r="L352" i="14"/>
  <c r="K352" i="14"/>
  <c r="J352" i="14"/>
  <c r="I352" i="14"/>
  <c r="H352" i="14"/>
  <c r="G352" i="14"/>
  <c r="F352" i="14"/>
  <c r="E352" i="14"/>
  <c r="P351" i="14"/>
  <c r="O351" i="14"/>
  <c r="N351" i="14"/>
  <c r="M351" i="14"/>
  <c r="L351" i="14"/>
  <c r="K351" i="14"/>
  <c r="J351" i="14"/>
  <c r="I351" i="14"/>
  <c r="H351" i="14"/>
  <c r="G351" i="14"/>
  <c r="F351" i="14"/>
  <c r="E351" i="14"/>
  <c r="P348" i="14"/>
  <c r="O348" i="14"/>
  <c r="N348" i="14"/>
  <c r="M348" i="14"/>
  <c r="L348" i="14"/>
  <c r="K348" i="14"/>
  <c r="J348" i="14"/>
  <c r="I348" i="14"/>
  <c r="H348" i="14"/>
  <c r="G348" i="14"/>
  <c r="F348" i="14"/>
  <c r="E348" i="14"/>
  <c r="C348" i="14"/>
  <c r="B348" i="14"/>
  <c r="P347" i="14"/>
  <c r="O347" i="14"/>
  <c r="N347" i="14"/>
  <c r="M347" i="14"/>
  <c r="L347" i="14"/>
  <c r="K347" i="14"/>
  <c r="J347" i="14"/>
  <c r="I347" i="14"/>
  <c r="H347" i="14"/>
  <c r="G347" i="14"/>
  <c r="F347" i="14"/>
  <c r="E347" i="14"/>
  <c r="P346" i="14"/>
  <c r="O346" i="14"/>
  <c r="N346" i="14"/>
  <c r="M346" i="14"/>
  <c r="L346" i="14"/>
  <c r="K346" i="14"/>
  <c r="J346" i="14"/>
  <c r="I346" i="14"/>
  <c r="H346" i="14"/>
  <c r="G346" i="14"/>
  <c r="F346" i="14"/>
  <c r="E346" i="14"/>
  <c r="C346" i="14"/>
  <c r="B346" i="14"/>
  <c r="P345" i="14"/>
  <c r="O345" i="14"/>
  <c r="N345" i="14"/>
  <c r="M345" i="14"/>
  <c r="L345" i="14"/>
  <c r="K345" i="14"/>
  <c r="J345" i="14"/>
  <c r="I345" i="14"/>
  <c r="H345" i="14"/>
  <c r="G345" i="14"/>
  <c r="F345" i="14"/>
  <c r="E345" i="14"/>
  <c r="C345" i="14"/>
  <c r="B345" i="14"/>
  <c r="P344" i="14"/>
  <c r="O344" i="14"/>
  <c r="N344" i="14"/>
  <c r="M344" i="14"/>
  <c r="L344" i="14"/>
  <c r="K344" i="14"/>
  <c r="J344" i="14"/>
  <c r="I344" i="14"/>
  <c r="H344" i="14"/>
  <c r="G344" i="14"/>
  <c r="F344" i="14"/>
  <c r="E344" i="14"/>
  <c r="C344" i="14"/>
  <c r="B344" i="14"/>
  <c r="P343" i="14"/>
  <c r="O343" i="14"/>
  <c r="N343" i="14"/>
  <c r="M343" i="14"/>
  <c r="L343" i="14"/>
  <c r="K343" i="14"/>
  <c r="J343" i="14"/>
  <c r="I343" i="14"/>
  <c r="H343" i="14"/>
  <c r="G343" i="14"/>
  <c r="F343" i="14"/>
  <c r="E343" i="14"/>
  <c r="P342" i="14"/>
  <c r="O342" i="14"/>
  <c r="N342" i="14"/>
  <c r="M342" i="14"/>
  <c r="L342" i="14"/>
  <c r="K342" i="14"/>
  <c r="J342" i="14"/>
  <c r="I342" i="14"/>
  <c r="H342" i="14"/>
  <c r="G342" i="14"/>
  <c r="F342" i="14"/>
  <c r="E342" i="14"/>
  <c r="P341" i="14"/>
  <c r="O341" i="14"/>
  <c r="N341" i="14"/>
  <c r="M341" i="14"/>
  <c r="L341" i="14"/>
  <c r="K341" i="14"/>
  <c r="J341" i="14"/>
  <c r="I341" i="14"/>
  <c r="H341" i="14"/>
  <c r="G341" i="14"/>
  <c r="F341" i="14"/>
  <c r="E341" i="14"/>
  <c r="P340" i="14"/>
  <c r="O340" i="14"/>
  <c r="N340" i="14"/>
  <c r="M340" i="14"/>
  <c r="L340" i="14"/>
  <c r="K340" i="14"/>
  <c r="J340" i="14"/>
  <c r="I340" i="14"/>
  <c r="H340" i="14"/>
  <c r="G340" i="14"/>
  <c r="F340" i="14"/>
  <c r="E340" i="14"/>
  <c r="P337" i="14"/>
  <c r="O337" i="14"/>
  <c r="N337" i="14"/>
  <c r="M337" i="14"/>
  <c r="L337" i="14"/>
  <c r="K337" i="14"/>
  <c r="J337" i="14"/>
  <c r="I337" i="14"/>
  <c r="H337" i="14"/>
  <c r="G337" i="14"/>
  <c r="F337" i="14"/>
  <c r="E337" i="14"/>
  <c r="C337" i="14"/>
  <c r="B337" i="14"/>
  <c r="P336" i="14"/>
  <c r="O336" i="14"/>
  <c r="N336" i="14"/>
  <c r="M336" i="14"/>
  <c r="L336" i="14"/>
  <c r="K336" i="14"/>
  <c r="J336" i="14"/>
  <c r="I336" i="14"/>
  <c r="H336" i="14"/>
  <c r="G336" i="14"/>
  <c r="F336" i="14"/>
  <c r="E336" i="14"/>
  <c r="P335" i="14"/>
  <c r="O335" i="14"/>
  <c r="N335" i="14"/>
  <c r="M335" i="14"/>
  <c r="L335" i="14"/>
  <c r="K335" i="14"/>
  <c r="J335" i="14"/>
  <c r="I335" i="14"/>
  <c r="H335" i="14"/>
  <c r="G335" i="14"/>
  <c r="F335" i="14"/>
  <c r="E335" i="14"/>
  <c r="C335" i="14"/>
  <c r="B335" i="14"/>
  <c r="P334" i="14"/>
  <c r="O334" i="14"/>
  <c r="N334" i="14"/>
  <c r="M334" i="14"/>
  <c r="L334" i="14"/>
  <c r="K334" i="14"/>
  <c r="J334" i="14"/>
  <c r="I334" i="14"/>
  <c r="H334" i="14"/>
  <c r="G334" i="14"/>
  <c r="F334" i="14"/>
  <c r="E334" i="14"/>
  <c r="C334" i="14"/>
  <c r="B334" i="14"/>
  <c r="P333" i="14"/>
  <c r="O333" i="14"/>
  <c r="N333" i="14"/>
  <c r="M333" i="14"/>
  <c r="L333" i="14"/>
  <c r="K333" i="14"/>
  <c r="J333" i="14"/>
  <c r="I333" i="14"/>
  <c r="H333" i="14"/>
  <c r="G333" i="14"/>
  <c r="F333" i="14"/>
  <c r="E333" i="14"/>
  <c r="C333" i="14"/>
  <c r="B333" i="14"/>
  <c r="P332" i="14"/>
  <c r="O332" i="14"/>
  <c r="N332" i="14"/>
  <c r="M332" i="14"/>
  <c r="L332" i="14"/>
  <c r="K332" i="14"/>
  <c r="J332" i="14"/>
  <c r="I332" i="14"/>
  <c r="H332" i="14"/>
  <c r="G332" i="14"/>
  <c r="F332" i="14"/>
  <c r="E332" i="14"/>
  <c r="C332" i="14"/>
  <c r="B332" i="14"/>
  <c r="P331" i="14"/>
  <c r="O331" i="14"/>
  <c r="N331" i="14"/>
  <c r="M331" i="14"/>
  <c r="L331" i="14"/>
  <c r="K331" i="14"/>
  <c r="J331" i="14"/>
  <c r="I331" i="14"/>
  <c r="H331" i="14"/>
  <c r="G331" i="14"/>
  <c r="F331" i="14"/>
  <c r="E331" i="14"/>
  <c r="C331" i="14"/>
  <c r="B331" i="14"/>
  <c r="P330" i="14"/>
  <c r="O330" i="14"/>
  <c r="N330" i="14"/>
  <c r="M330" i="14"/>
  <c r="L330" i="14"/>
  <c r="K330" i="14"/>
  <c r="J330" i="14"/>
  <c r="I330" i="14"/>
  <c r="H330" i="14"/>
  <c r="G330" i="14"/>
  <c r="F330" i="14"/>
  <c r="E330" i="14"/>
  <c r="C330" i="14"/>
  <c r="B330" i="14"/>
  <c r="P329" i="14"/>
  <c r="O329" i="14"/>
  <c r="N329" i="14"/>
  <c r="M329" i="14"/>
  <c r="L329" i="14"/>
  <c r="K329" i="14"/>
  <c r="J329" i="14"/>
  <c r="I329" i="14"/>
  <c r="H329" i="14"/>
  <c r="G329" i="14"/>
  <c r="F329" i="14"/>
  <c r="E329" i="14"/>
  <c r="C329" i="14"/>
  <c r="B329" i="14"/>
  <c r="P328" i="14"/>
  <c r="O328" i="14"/>
  <c r="N328" i="14"/>
  <c r="M328" i="14"/>
  <c r="L328" i="14"/>
  <c r="K328" i="14"/>
  <c r="J328" i="14"/>
  <c r="I328" i="14"/>
  <c r="H328" i="14"/>
  <c r="G328" i="14"/>
  <c r="F328" i="14"/>
  <c r="E328" i="14"/>
  <c r="C328" i="14"/>
  <c r="B328" i="14"/>
  <c r="P327" i="14"/>
  <c r="O327" i="14"/>
  <c r="N327" i="14"/>
  <c r="M327" i="14"/>
  <c r="L327" i="14"/>
  <c r="K327" i="14"/>
  <c r="J327" i="14"/>
  <c r="I327" i="14"/>
  <c r="H327" i="14"/>
  <c r="G327" i="14"/>
  <c r="F327" i="14"/>
  <c r="E327" i="14"/>
  <c r="P326" i="14"/>
  <c r="O326" i="14"/>
  <c r="N326" i="14"/>
  <c r="M326" i="14"/>
  <c r="L326" i="14"/>
  <c r="K326" i="14"/>
  <c r="J326" i="14"/>
  <c r="I326" i="14"/>
  <c r="H326" i="14"/>
  <c r="G326" i="14"/>
  <c r="F326" i="14"/>
  <c r="E326" i="14"/>
  <c r="P325" i="14"/>
  <c r="O325" i="14"/>
  <c r="N325" i="14"/>
  <c r="M325" i="14"/>
  <c r="L325" i="14"/>
  <c r="K325" i="14"/>
  <c r="J325" i="14"/>
  <c r="I325" i="14"/>
  <c r="H325" i="14"/>
  <c r="G325" i="14"/>
  <c r="F325" i="14"/>
  <c r="E325" i="14"/>
  <c r="P324" i="14"/>
  <c r="O324" i="14"/>
  <c r="N324" i="14"/>
  <c r="M324" i="14"/>
  <c r="L324" i="14"/>
  <c r="K324" i="14"/>
  <c r="J324" i="14"/>
  <c r="I324" i="14"/>
  <c r="H324" i="14"/>
  <c r="G324" i="14"/>
  <c r="F324" i="14"/>
  <c r="E324" i="14"/>
  <c r="B321" i="14"/>
  <c r="A321" i="14"/>
  <c r="P319" i="14"/>
  <c r="O319" i="14"/>
  <c r="N319" i="14"/>
  <c r="M319" i="14"/>
  <c r="L319" i="14"/>
  <c r="K319" i="14"/>
  <c r="J319" i="14"/>
  <c r="I319" i="14"/>
  <c r="H319" i="14"/>
  <c r="G319" i="14"/>
  <c r="F319" i="14"/>
  <c r="E319" i="14"/>
  <c r="C319" i="14"/>
  <c r="B319" i="14"/>
  <c r="P318" i="14"/>
  <c r="O318" i="14"/>
  <c r="N318" i="14"/>
  <c r="M318" i="14"/>
  <c r="L318" i="14"/>
  <c r="K318" i="14"/>
  <c r="J318" i="14"/>
  <c r="I318" i="14"/>
  <c r="H318" i="14"/>
  <c r="G318" i="14"/>
  <c r="F318" i="14"/>
  <c r="E318" i="14"/>
  <c r="C318" i="14"/>
  <c r="B318" i="14"/>
  <c r="P317" i="14"/>
  <c r="O317" i="14"/>
  <c r="N317" i="14"/>
  <c r="M317" i="14"/>
  <c r="L317" i="14"/>
  <c r="K317" i="14"/>
  <c r="J317" i="14"/>
  <c r="I317" i="14"/>
  <c r="H317" i="14"/>
  <c r="G317" i="14"/>
  <c r="F317" i="14"/>
  <c r="E317" i="14"/>
  <c r="E360" i="14" s="1"/>
  <c r="E490" i="26" s="1"/>
  <c r="C317" i="14"/>
  <c r="P316" i="14"/>
  <c r="O316" i="14"/>
  <c r="N316" i="14"/>
  <c r="M316" i="14"/>
  <c r="L316" i="14"/>
  <c r="K316" i="14"/>
  <c r="J316" i="14"/>
  <c r="I316" i="14"/>
  <c r="H316" i="14"/>
  <c r="G316" i="14"/>
  <c r="F316" i="14"/>
  <c r="E316" i="14"/>
  <c r="C316" i="14"/>
  <c r="B316" i="14"/>
  <c r="P315" i="14"/>
  <c r="O315" i="14"/>
  <c r="N315" i="14"/>
  <c r="M315" i="14"/>
  <c r="L315" i="14"/>
  <c r="K315" i="14"/>
  <c r="J315" i="14"/>
  <c r="I315" i="14"/>
  <c r="H315" i="14"/>
  <c r="G315" i="14"/>
  <c r="F315" i="14"/>
  <c r="E315" i="14"/>
  <c r="C315" i="14"/>
  <c r="B315" i="14"/>
  <c r="P314" i="14"/>
  <c r="O314" i="14"/>
  <c r="N314" i="14"/>
  <c r="M314" i="14"/>
  <c r="L314" i="14"/>
  <c r="K314" i="14"/>
  <c r="J314" i="14"/>
  <c r="I314" i="14"/>
  <c r="H314" i="14"/>
  <c r="G314" i="14"/>
  <c r="F314" i="14"/>
  <c r="E314" i="14"/>
  <c r="C314" i="14"/>
  <c r="B314" i="14"/>
  <c r="P313" i="14"/>
  <c r="O313" i="14"/>
  <c r="N313" i="14"/>
  <c r="M313" i="14"/>
  <c r="L313" i="14"/>
  <c r="K313" i="14"/>
  <c r="J313" i="14"/>
  <c r="I313" i="14"/>
  <c r="H313" i="14"/>
  <c r="G313" i="14"/>
  <c r="F313" i="14"/>
  <c r="E313" i="14"/>
  <c r="A312" i="14"/>
  <c r="P311" i="14"/>
  <c r="O311" i="14"/>
  <c r="N311" i="14"/>
  <c r="M311" i="14"/>
  <c r="L311" i="14"/>
  <c r="K311" i="14"/>
  <c r="J311" i="14"/>
  <c r="I311" i="14"/>
  <c r="H311" i="14"/>
  <c r="G311" i="14"/>
  <c r="F311" i="14"/>
  <c r="E311" i="14"/>
  <c r="P310" i="14"/>
  <c r="O310" i="14"/>
  <c r="N310" i="14"/>
  <c r="M310" i="14"/>
  <c r="L310" i="14"/>
  <c r="K310" i="14"/>
  <c r="J310" i="14"/>
  <c r="I310" i="14"/>
  <c r="H310" i="14"/>
  <c r="G310" i="14"/>
  <c r="F310" i="14"/>
  <c r="E310" i="14"/>
  <c r="P309" i="14"/>
  <c r="O309" i="14"/>
  <c r="N309" i="14"/>
  <c r="M309" i="14"/>
  <c r="L309" i="14"/>
  <c r="K309" i="14"/>
  <c r="J309" i="14"/>
  <c r="I309" i="14"/>
  <c r="H309" i="14"/>
  <c r="G309" i="14"/>
  <c r="F309" i="14"/>
  <c r="E309" i="14"/>
  <c r="P308" i="14"/>
  <c r="O308" i="14"/>
  <c r="N308" i="14"/>
  <c r="M308" i="14"/>
  <c r="L308" i="14"/>
  <c r="K308" i="14"/>
  <c r="J308" i="14"/>
  <c r="I308" i="14"/>
  <c r="H308" i="14"/>
  <c r="G308" i="14"/>
  <c r="F308" i="14"/>
  <c r="E308" i="14"/>
  <c r="P307" i="14"/>
  <c r="O307" i="14"/>
  <c r="N307" i="14"/>
  <c r="M307" i="14"/>
  <c r="L307" i="14"/>
  <c r="K307" i="14"/>
  <c r="J307" i="14"/>
  <c r="I307" i="14"/>
  <c r="H307" i="14"/>
  <c r="G307" i="14"/>
  <c r="F307" i="14"/>
  <c r="E307" i="14"/>
  <c r="P306" i="14"/>
  <c r="O306" i="14"/>
  <c r="N306" i="14"/>
  <c r="M306" i="14"/>
  <c r="L306" i="14"/>
  <c r="K306" i="14"/>
  <c r="J306" i="14"/>
  <c r="I306" i="14"/>
  <c r="H306" i="14"/>
  <c r="G306" i="14"/>
  <c r="F306" i="14"/>
  <c r="E306" i="14"/>
  <c r="A305" i="14"/>
  <c r="P300" i="14"/>
  <c r="O300" i="14"/>
  <c r="N300" i="14"/>
  <c r="M300" i="14"/>
  <c r="L300" i="14"/>
  <c r="K300" i="14"/>
  <c r="J300" i="14"/>
  <c r="I300" i="14"/>
  <c r="H300" i="14"/>
  <c r="G300" i="14"/>
  <c r="F300" i="14"/>
  <c r="E300" i="14"/>
  <c r="P299" i="14"/>
  <c r="O299" i="14"/>
  <c r="N299" i="14"/>
  <c r="M299" i="14"/>
  <c r="L299" i="14"/>
  <c r="K299" i="14"/>
  <c r="J299" i="14"/>
  <c r="I299" i="14"/>
  <c r="H299" i="14"/>
  <c r="G299" i="14"/>
  <c r="F299" i="14"/>
  <c r="E299" i="14"/>
  <c r="P298" i="14"/>
  <c r="O298" i="14"/>
  <c r="N298" i="14"/>
  <c r="M298" i="14"/>
  <c r="L298" i="14"/>
  <c r="K298" i="14"/>
  <c r="J298" i="14"/>
  <c r="I298" i="14"/>
  <c r="H298" i="14"/>
  <c r="G298" i="14"/>
  <c r="F298" i="14"/>
  <c r="E298" i="14"/>
  <c r="P297" i="14"/>
  <c r="O297" i="14"/>
  <c r="N297" i="14"/>
  <c r="M297" i="14"/>
  <c r="L297" i="14"/>
  <c r="K297" i="14"/>
  <c r="J297" i="14"/>
  <c r="I297" i="14"/>
  <c r="H297" i="14"/>
  <c r="G297" i="14"/>
  <c r="F297" i="14"/>
  <c r="E297" i="14"/>
  <c r="P296" i="14"/>
  <c r="O296" i="14"/>
  <c r="N296" i="14"/>
  <c r="M296" i="14"/>
  <c r="L296" i="14"/>
  <c r="K296" i="14"/>
  <c r="J296" i="14"/>
  <c r="I296" i="14"/>
  <c r="H296" i="14"/>
  <c r="G296" i="14"/>
  <c r="F296" i="14"/>
  <c r="E296" i="14"/>
  <c r="P295" i="14"/>
  <c r="O295" i="14"/>
  <c r="N295" i="14"/>
  <c r="M295" i="14"/>
  <c r="L295" i="14"/>
  <c r="K295" i="14"/>
  <c r="J295" i="14"/>
  <c r="I295" i="14"/>
  <c r="H295" i="14"/>
  <c r="G295" i="14"/>
  <c r="F295" i="14"/>
  <c r="P294" i="14"/>
  <c r="O294" i="14"/>
  <c r="N294" i="14"/>
  <c r="M294" i="14"/>
  <c r="L294" i="14"/>
  <c r="K294" i="14"/>
  <c r="J294" i="14"/>
  <c r="I294" i="14"/>
  <c r="H294" i="14"/>
  <c r="G294" i="14"/>
  <c r="F294" i="14"/>
  <c r="E294" i="14"/>
  <c r="P291" i="14"/>
  <c r="O291" i="14"/>
  <c r="N291" i="14"/>
  <c r="M291" i="14"/>
  <c r="L291" i="14"/>
  <c r="K291" i="14"/>
  <c r="J291" i="14"/>
  <c r="I291" i="14"/>
  <c r="H291" i="14"/>
  <c r="G291" i="14"/>
  <c r="F291" i="14"/>
  <c r="E291" i="14"/>
  <c r="C291" i="14"/>
  <c r="P290" i="14"/>
  <c r="O290" i="14"/>
  <c r="N290" i="14"/>
  <c r="M290" i="14"/>
  <c r="L290" i="14"/>
  <c r="K290" i="14"/>
  <c r="J290" i="14"/>
  <c r="I290" i="14"/>
  <c r="H290" i="14"/>
  <c r="G290" i="14"/>
  <c r="F290" i="14"/>
  <c r="E290" i="14"/>
  <c r="P289" i="14"/>
  <c r="O289" i="14"/>
  <c r="N289" i="14"/>
  <c r="M289" i="14"/>
  <c r="L289" i="14"/>
  <c r="K289" i="14"/>
  <c r="J289" i="14"/>
  <c r="I289" i="14"/>
  <c r="H289" i="14"/>
  <c r="G289" i="14"/>
  <c r="F289" i="14"/>
  <c r="E289" i="14"/>
  <c r="C289" i="14"/>
  <c r="P288" i="14"/>
  <c r="O288" i="14"/>
  <c r="N288" i="14"/>
  <c r="M288" i="14"/>
  <c r="L288" i="14"/>
  <c r="K288" i="14"/>
  <c r="J288" i="14"/>
  <c r="I288" i="14"/>
  <c r="H288" i="14"/>
  <c r="G288" i="14"/>
  <c r="F288" i="14"/>
  <c r="E288" i="14"/>
  <c r="C288" i="14"/>
  <c r="P287" i="14"/>
  <c r="O287" i="14"/>
  <c r="N287" i="14"/>
  <c r="M287" i="14"/>
  <c r="L287" i="14"/>
  <c r="K287" i="14"/>
  <c r="J287" i="14"/>
  <c r="I287" i="14"/>
  <c r="H287" i="14"/>
  <c r="G287" i="14"/>
  <c r="F287" i="14"/>
  <c r="E287" i="14"/>
  <c r="C287" i="14"/>
  <c r="P286" i="14"/>
  <c r="O286" i="14"/>
  <c r="N286" i="14"/>
  <c r="M286" i="14"/>
  <c r="L286" i="14"/>
  <c r="K286" i="14"/>
  <c r="J286" i="14"/>
  <c r="I286" i="14"/>
  <c r="H286" i="14"/>
  <c r="G286" i="14"/>
  <c r="F286" i="14"/>
  <c r="E286" i="14"/>
  <c r="P285" i="14"/>
  <c r="O285" i="14"/>
  <c r="N285" i="14"/>
  <c r="M285" i="14"/>
  <c r="L285" i="14"/>
  <c r="K285" i="14"/>
  <c r="J285" i="14"/>
  <c r="I285" i="14"/>
  <c r="H285" i="14"/>
  <c r="G285" i="14"/>
  <c r="F285" i="14"/>
  <c r="E285" i="14"/>
  <c r="P284" i="14"/>
  <c r="O284" i="14"/>
  <c r="N284" i="14"/>
  <c r="M284" i="14"/>
  <c r="L284" i="14"/>
  <c r="K284" i="14"/>
  <c r="J284" i="14"/>
  <c r="I284" i="14"/>
  <c r="H284" i="14"/>
  <c r="G284" i="14"/>
  <c r="F284" i="14"/>
  <c r="E284" i="14"/>
  <c r="P283" i="14"/>
  <c r="O283" i="14"/>
  <c r="N283" i="14"/>
  <c r="M283" i="14"/>
  <c r="L283" i="14"/>
  <c r="K283" i="14"/>
  <c r="J283" i="14"/>
  <c r="I283" i="14"/>
  <c r="H283" i="14"/>
  <c r="G283" i="14"/>
  <c r="F283" i="14"/>
  <c r="E283" i="14"/>
  <c r="P280" i="14"/>
  <c r="O280" i="14"/>
  <c r="N280" i="14"/>
  <c r="M280" i="14"/>
  <c r="L280" i="14"/>
  <c r="K280" i="14"/>
  <c r="J280" i="14"/>
  <c r="I280" i="14"/>
  <c r="H280" i="14"/>
  <c r="G280" i="14"/>
  <c r="F280" i="14"/>
  <c r="E280" i="14"/>
  <c r="P279" i="14"/>
  <c r="O279" i="14"/>
  <c r="N279" i="14"/>
  <c r="M279" i="14"/>
  <c r="L279" i="14"/>
  <c r="K279" i="14"/>
  <c r="J279" i="14"/>
  <c r="I279" i="14"/>
  <c r="H279" i="14"/>
  <c r="G279" i="14"/>
  <c r="F279" i="14"/>
  <c r="E279" i="14"/>
  <c r="P278" i="14"/>
  <c r="O278" i="14"/>
  <c r="N278" i="14"/>
  <c r="M278" i="14"/>
  <c r="L278" i="14"/>
  <c r="K278" i="14"/>
  <c r="J278" i="14"/>
  <c r="I278" i="14"/>
  <c r="H278" i="14"/>
  <c r="G278" i="14"/>
  <c r="F278" i="14"/>
  <c r="E278" i="14"/>
  <c r="P277" i="14"/>
  <c r="O277" i="14"/>
  <c r="N277" i="14"/>
  <c r="M277" i="14"/>
  <c r="L277" i="14"/>
  <c r="K277" i="14"/>
  <c r="J277" i="14"/>
  <c r="I277" i="14"/>
  <c r="H277" i="14"/>
  <c r="G277" i="14"/>
  <c r="F277" i="14"/>
  <c r="E277" i="14"/>
  <c r="P276" i="14"/>
  <c r="O276" i="14"/>
  <c r="N276" i="14"/>
  <c r="M276" i="14"/>
  <c r="L276" i="14"/>
  <c r="K276" i="14"/>
  <c r="J276" i="14"/>
  <c r="I276" i="14"/>
  <c r="H276" i="14"/>
  <c r="G276" i="14"/>
  <c r="F276" i="14"/>
  <c r="E276" i="14"/>
  <c r="P275" i="14"/>
  <c r="O275" i="14"/>
  <c r="N275" i="14"/>
  <c r="M275" i="14"/>
  <c r="L275" i="14"/>
  <c r="K275" i="14"/>
  <c r="J275" i="14"/>
  <c r="I275" i="14"/>
  <c r="H275" i="14"/>
  <c r="G275" i="14"/>
  <c r="F275" i="14"/>
  <c r="E275" i="14"/>
  <c r="P274" i="14"/>
  <c r="O274" i="14"/>
  <c r="N274" i="14"/>
  <c r="M274" i="14"/>
  <c r="L274" i="14"/>
  <c r="K274" i="14"/>
  <c r="J274" i="14"/>
  <c r="I274" i="14"/>
  <c r="H274" i="14"/>
  <c r="G274" i="14"/>
  <c r="F274" i="14"/>
  <c r="E274" i="14"/>
  <c r="P273" i="14"/>
  <c r="O273" i="14"/>
  <c r="N273" i="14"/>
  <c r="M273" i="14"/>
  <c r="L273" i="14"/>
  <c r="K273" i="14"/>
  <c r="J273" i="14"/>
  <c r="I273" i="14"/>
  <c r="H273" i="14"/>
  <c r="G273" i="14"/>
  <c r="F273" i="14"/>
  <c r="E273" i="14"/>
  <c r="P272" i="14"/>
  <c r="O272" i="14"/>
  <c r="N272" i="14"/>
  <c r="M272" i="14"/>
  <c r="L272" i="14"/>
  <c r="K272" i="14"/>
  <c r="J272" i="14"/>
  <c r="I272" i="14"/>
  <c r="H272" i="14"/>
  <c r="G272" i="14"/>
  <c r="F272" i="14"/>
  <c r="E272" i="14"/>
  <c r="P271" i="14"/>
  <c r="O271" i="14"/>
  <c r="N271" i="14"/>
  <c r="M271" i="14"/>
  <c r="L271" i="14"/>
  <c r="K271" i="14"/>
  <c r="J271" i="14"/>
  <c r="I271" i="14"/>
  <c r="H271" i="14"/>
  <c r="G271" i="14"/>
  <c r="F271" i="14"/>
  <c r="E271" i="14"/>
  <c r="P270" i="14"/>
  <c r="O270" i="14"/>
  <c r="N270" i="14"/>
  <c r="M270" i="14"/>
  <c r="L270" i="14"/>
  <c r="K270" i="14"/>
  <c r="J270" i="14"/>
  <c r="I270" i="14"/>
  <c r="H270" i="14"/>
  <c r="G270" i="14"/>
  <c r="F270" i="14"/>
  <c r="E270" i="14"/>
  <c r="P269" i="14"/>
  <c r="O269" i="14"/>
  <c r="N269" i="14"/>
  <c r="M269" i="14"/>
  <c r="L269" i="14"/>
  <c r="K269" i="14"/>
  <c r="J269" i="14"/>
  <c r="I269" i="14"/>
  <c r="H269" i="14"/>
  <c r="G269" i="14"/>
  <c r="F269" i="14"/>
  <c r="E269" i="14"/>
  <c r="P268" i="14"/>
  <c r="O268" i="14"/>
  <c r="N268" i="14"/>
  <c r="M268" i="14"/>
  <c r="L268" i="14"/>
  <c r="K268" i="14"/>
  <c r="J268" i="14"/>
  <c r="I268" i="14"/>
  <c r="H268" i="14"/>
  <c r="G268" i="14"/>
  <c r="F268" i="14"/>
  <c r="E268" i="14"/>
  <c r="P267" i="14"/>
  <c r="O267" i="14"/>
  <c r="N267" i="14"/>
  <c r="M267" i="14"/>
  <c r="L267" i="14"/>
  <c r="K267" i="14"/>
  <c r="J267" i="14"/>
  <c r="I267" i="14"/>
  <c r="H267" i="14"/>
  <c r="G267" i="14"/>
  <c r="F267" i="14"/>
  <c r="E267" i="14"/>
  <c r="B264" i="14"/>
  <c r="P262" i="14"/>
  <c r="O262" i="14"/>
  <c r="N262" i="14"/>
  <c r="M262" i="14"/>
  <c r="L262" i="14"/>
  <c r="K262" i="14"/>
  <c r="J262" i="14"/>
  <c r="I262" i="14"/>
  <c r="H262" i="14"/>
  <c r="G262" i="14"/>
  <c r="F262" i="14"/>
  <c r="E262" i="14"/>
  <c r="B262" i="14"/>
  <c r="P261" i="14"/>
  <c r="O261" i="14"/>
  <c r="N261" i="14"/>
  <c r="M261" i="14"/>
  <c r="L261" i="14"/>
  <c r="K261" i="14"/>
  <c r="J261" i="14"/>
  <c r="I261" i="14"/>
  <c r="H261" i="14"/>
  <c r="G261" i="14"/>
  <c r="F261" i="14"/>
  <c r="E261" i="14"/>
  <c r="B261" i="14"/>
  <c r="P260" i="14"/>
  <c r="O260" i="14"/>
  <c r="N260" i="14"/>
  <c r="M260" i="14"/>
  <c r="L260" i="14"/>
  <c r="K260" i="14"/>
  <c r="J260" i="14"/>
  <c r="I260" i="14"/>
  <c r="H260" i="14"/>
  <c r="G260" i="14"/>
  <c r="F260" i="14"/>
  <c r="E260" i="14"/>
  <c r="E303" i="14" s="1"/>
  <c r="E563" i="26" s="1"/>
  <c r="P259" i="14"/>
  <c r="O259" i="14"/>
  <c r="N259" i="14"/>
  <c r="M259" i="14"/>
  <c r="L259" i="14"/>
  <c r="K259" i="14"/>
  <c r="J259" i="14"/>
  <c r="I259" i="14"/>
  <c r="H259" i="14"/>
  <c r="G259" i="14"/>
  <c r="F259" i="14"/>
  <c r="E259" i="14"/>
  <c r="B259" i="14"/>
  <c r="P258" i="14"/>
  <c r="O258" i="14"/>
  <c r="N258" i="14"/>
  <c r="M258" i="14"/>
  <c r="L258" i="14"/>
  <c r="K258" i="14"/>
  <c r="J258" i="14"/>
  <c r="I258" i="14"/>
  <c r="H258" i="14"/>
  <c r="G258" i="14"/>
  <c r="F258" i="14"/>
  <c r="E258" i="14"/>
  <c r="B258" i="14"/>
  <c r="P257" i="14"/>
  <c r="O257" i="14"/>
  <c r="N257" i="14"/>
  <c r="M257" i="14"/>
  <c r="L257" i="14"/>
  <c r="K257" i="14"/>
  <c r="J257" i="14"/>
  <c r="I257" i="14"/>
  <c r="H257" i="14"/>
  <c r="G257" i="14"/>
  <c r="F257" i="14"/>
  <c r="E257" i="14"/>
  <c r="B257" i="14"/>
  <c r="P256" i="14"/>
  <c r="O256" i="14"/>
  <c r="N256" i="14"/>
  <c r="M256" i="14"/>
  <c r="L256" i="14"/>
  <c r="K256" i="14"/>
  <c r="K303" i="14" s="1"/>
  <c r="K563" i="26" s="1"/>
  <c r="J256" i="14"/>
  <c r="I256" i="14"/>
  <c r="H256" i="14"/>
  <c r="G256" i="14"/>
  <c r="F256" i="14"/>
  <c r="E256" i="14"/>
  <c r="A255" i="14"/>
  <c r="P253" i="14"/>
  <c r="O253" i="14"/>
  <c r="N253" i="14"/>
  <c r="M253" i="14"/>
  <c r="L253" i="14"/>
  <c r="K253" i="14"/>
  <c r="J253" i="14"/>
  <c r="I253" i="14"/>
  <c r="H253" i="14"/>
  <c r="G253" i="14"/>
  <c r="F253" i="14"/>
  <c r="E253" i="14"/>
  <c r="P252" i="14"/>
  <c r="O252" i="14"/>
  <c r="N252" i="14"/>
  <c r="M252" i="14"/>
  <c r="L252" i="14"/>
  <c r="K252" i="14"/>
  <c r="J252" i="14"/>
  <c r="I252" i="14"/>
  <c r="H252" i="14"/>
  <c r="G252" i="14"/>
  <c r="F252" i="14"/>
  <c r="E252" i="14"/>
  <c r="P251" i="14"/>
  <c r="O251" i="14"/>
  <c r="N251" i="14"/>
  <c r="M251" i="14"/>
  <c r="L251" i="14"/>
  <c r="K251" i="14"/>
  <c r="J251" i="14"/>
  <c r="I251" i="14"/>
  <c r="H251" i="14"/>
  <c r="G251" i="14"/>
  <c r="F251" i="14"/>
  <c r="E251" i="14"/>
  <c r="P250" i="14"/>
  <c r="O250" i="14"/>
  <c r="N250" i="14"/>
  <c r="M250" i="14"/>
  <c r="L250" i="14"/>
  <c r="K250" i="14"/>
  <c r="J250" i="14"/>
  <c r="I250" i="14"/>
  <c r="H250" i="14"/>
  <c r="G250" i="14"/>
  <c r="F250" i="14"/>
  <c r="E250" i="14"/>
  <c r="P249" i="14"/>
  <c r="O249" i="14"/>
  <c r="N249" i="14"/>
  <c r="M249" i="14"/>
  <c r="L249" i="14"/>
  <c r="K249" i="14"/>
  <c r="J249" i="14"/>
  <c r="I249" i="14"/>
  <c r="H249" i="14"/>
  <c r="G249" i="14"/>
  <c r="F249" i="14"/>
  <c r="E249" i="14"/>
  <c r="P248" i="14"/>
  <c r="O248" i="14"/>
  <c r="N248" i="14"/>
  <c r="M248" i="14"/>
  <c r="L248" i="14"/>
  <c r="K248" i="14"/>
  <c r="J248" i="14"/>
  <c r="I248" i="14"/>
  <c r="H248" i="14"/>
  <c r="G248" i="14"/>
  <c r="F248" i="14"/>
  <c r="E248" i="14"/>
  <c r="A246" i="14"/>
  <c r="P243" i="14"/>
  <c r="O243" i="14"/>
  <c r="N243" i="14"/>
  <c r="M243" i="14"/>
  <c r="L243" i="14"/>
  <c r="K243" i="14"/>
  <c r="J243" i="14"/>
  <c r="I243" i="14"/>
  <c r="H243" i="14"/>
  <c r="G243" i="14"/>
  <c r="F243" i="14"/>
  <c r="E243" i="14"/>
  <c r="P242" i="14"/>
  <c r="O242" i="14"/>
  <c r="N242" i="14"/>
  <c r="M242" i="14"/>
  <c r="L242" i="14"/>
  <c r="K242" i="14"/>
  <c r="J242" i="14"/>
  <c r="I242" i="14"/>
  <c r="H242" i="14"/>
  <c r="G242" i="14"/>
  <c r="F242" i="14"/>
  <c r="E242" i="14"/>
  <c r="P241" i="14"/>
  <c r="O241" i="14"/>
  <c r="N241" i="14"/>
  <c r="M241" i="14"/>
  <c r="L241" i="14"/>
  <c r="K241" i="14"/>
  <c r="J241" i="14"/>
  <c r="I241" i="14"/>
  <c r="H241" i="14"/>
  <c r="G241" i="14"/>
  <c r="F241" i="14"/>
  <c r="E241" i="14"/>
  <c r="P240" i="14"/>
  <c r="O240" i="14"/>
  <c r="N240" i="14"/>
  <c r="M240" i="14"/>
  <c r="L240" i="14"/>
  <c r="K240" i="14"/>
  <c r="J240" i="14"/>
  <c r="I240" i="14"/>
  <c r="H240" i="14"/>
  <c r="G240" i="14"/>
  <c r="F240" i="14"/>
  <c r="E240" i="14"/>
  <c r="P239" i="14"/>
  <c r="O239" i="14"/>
  <c r="N239" i="14"/>
  <c r="M239" i="14"/>
  <c r="L239" i="14"/>
  <c r="K239" i="14"/>
  <c r="J239" i="14"/>
  <c r="I239" i="14"/>
  <c r="H239" i="14"/>
  <c r="G239" i="14"/>
  <c r="F239" i="14"/>
  <c r="E239" i="14"/>
  <c r="P238" i="14"/>
  <c r="O238" i="14"/>
  <c r="N238" i="14"/>
  <c r="M238" i="14"/>
  <c r="L238" i="14"/>
  <c r="K238" i="14"/>
  <c r="J238" i="14"/>
  <c r="I238" i="14"/>
  <c r="H238" i="14"/>
  <c r="G238" i="14"/>
  <c r="F238" i="14"/>
  <c r="E238" i="14"/>
  <c r="P237" i="14"/>
  <c r="O237" i="14"/>
  <c r="N237" i="14"/>
  <c r="M237" i="14"/>
  <c r="L237" i="14"/>
  <c r="K237" i="14"/>
  <c r="J237" i="14"/>
  <c r="I237" i="14"/>
  <c r="H237" i="14"/>
  <c r="G237" i="14"/>
  <c r="F237" i="14"/>
  <c r="E237" i="14"/>
  <c r="P236" i="14"/>
  <c r="O236" i="14"/>
  <c r="N236" i="14"/>
  <c r="M236" i="14"/>
  <c r="L236" i="14"/>
  <c r="K236" i="14"/>
  <c r="J236" i="14"/>
  <c r="I236" i="14"/>
  <c r="H236" i="14"/>
  <c r="G236" i="14"/>
  <c r="F236" i="14"/>
  <c r="E236" i="14"/>
  <c r="P235" i="14"/>
  <c r="O235" i="14"/>
  <c r="N235" i="14"/>
  <c r="M235" i="14"/>
  <c r="L235" i="14"/>
  <c r="K235" i="14"/>
  <c r="J235" i="14"/>
  <c r="I235" i="14"/>
  <c r="H235" i="14"/>
  <c r="G235" i="14"/>
  <c r="F235" i="14"/>
  <c r="E235" i="14"/>
  <c r="P234" i="14"/>
  <c r="O234" i="14"/>
  <c r="N234" i="14"/>
  <c r="M234" i="14"/>
  <c r="L234" i="14"/>
  <c r="K234" i="14"/>
  <c r="J234" i="14"/>
  <c r="I234" i="14"/>
  <c r="H234" i="14"/>
  <c r="G234" i="14"/>
  <c r="F234" i="14"/>
  <c r="E234" i="14"/>
  <c r="P233" i="14"/>
  <c r="O233" i="14"/>
  <c r="N233" i="14"/>
  <c r="M233" i="14"/>
  <c r="L233" i="14"/>
  <c r="K233" i="14"/>
  <c r="J233" i="14"/>
  <c r="I233" i="14"/>
  <c r="H233" i="14"/>
  <c r="G233" i="14"/>
  <c r="F233" i="14"/>
  <c r="E233" i="14"/>
  <c r="P232" i="14"/>
  <c r="O232" i="14"/>
  <c r="N232" i="14"/>
  <c r="M232" i="14"/>
  <c r="L232" i="14"/>
  <c r="K232" i="14"/>
  <c r="J232" i="14"/>
  <c r="I232" i="14"/>
  <c r="H232" i="14"/>
  <c r="G232" i="14"/>
  <c r="F232" i="14"/>
  <c r="E232" i="14"/>
  <c r="P231" i="14"/>
  <c r="O231" i="14"/>
  <c r="N231" i="14"/>
  <c r="M231" i="14"/>
  <c r="L231" i="14"/>
  <c r="K231" i="14"/>
  <c r="J231" i="14"/>
  <c r="I231" i="14"/>
  <c r="H231" i="14"/>
  <c r="G231" i="14"/>
  <c r="F231" i="14"/>
  <c r="E231" i="14"/>
  <c r="P230" i="14"/>
  <c r="O230" i="14"/>
  <c r="N230" i="14"/>
  <c r="M230" i="14"/>
  <c r="L230" i="14"/>
  <c r="K230" i="14"/>
  <c r="J230" i="14"/>
  <c r="I230" i="14"/>
  <c r="H230" i="14"/>
  <c r="G230" i="14"/>
  <c r="F230" i="14"/>
  <c r="E230" i="14"/>
  <c r="P226" i="14"/>
  <c r="O226" i="14"/>
  <c r="N226" i="14"/>
  <c r="M226" i="14"/>
  <c r="L226" i="14"/>
  <c r="K226" i="14"/>
  <c r="J226" i="14"/>
  <c r="I226" i="14"/>
  <c r="H226" i="14"/>
  <c r="G226" i="14"/>
  <c r="F226" i="14"/>
  <c r="E226" i="14"/>
  <c r="A226" i="14"/>
  <c r="P224" i="14"/>
  <c r="O224" i="14"/>
  <c r="N224" i="14"/>
  <c r="M224" i="14"/>
  <c r="L224" i="14"/>
  <c r="K224" i="14"/>
  <c r="J224" i="14"/>
  <c r="I224" i="14"/>
  <c r="H224" i="14"/>
  <c r="G224" i="14"/>
  <c r="F224" i="14"/>
  <c r="E224" i="14"/>
  <c r="P223" i="14"/>
  <c r="O223" i="14"/>
  <c r="N223" i="14"/>
  <c r="M223" i="14"/>
  <c r="L223" i="14"/>
  <c r="K223" i="14"/>
  <c r="J223" i="14"/>
  <c r="I223" i="14"/>
  <c r="H223" i="14"/>
  <c r="G223" i="14"/>
  <c r="F223" i="14"/>
  <c r="E223" i="14"/>
  <c r="P222" i="14"/>
  <c r="O222" i="14"/>
  <c r="N222" i="14"/>
  <c r="M222" i="14"/>
  <c r="L222" i="14"/>
  <c r="K222" i="14"/>
  <c r="J222" i="14"/>
  <c r="I222" i="14"/>
  <c r="H222" i="14"/>
  <c r="G222" i="14"/>
  <c r="F222" i="14"/>
  <c r="E222" i="14"/>
  <c r="P221" i="14"/>
  <c r="O221" i="14"/>
  <c r="N221" i="14"/>
  <c r="M221" i="14"/>
  <c r="L221" i="14"/>
  <c r="K221" i="14"/>
  <c r="J221" i="14"/>
  <c r="I221" i="14"/>
  <c r="H221" i="14"/>
  <c r="G221" i="14"/>
  <c r="F221" i="14"/>
  <c r="E221" i="14"/>
  <c r="P220" i="14"/>
  <c r="O220" i="14"/>
  <c r="N220" i="14"/>
  <c r="M220" i="14"/>
  <c r="L220" i="14"/>
  <c r="K220" i="14"/>
  <c r="J220" i="14"/>
  <c r="I220" i="14"/>
  <c r="H220" i="14"/>
  <c r="G220" i="14"/>
  <c r="F220" i="14"/>
  <c r="E220" i="14"/>
  <c r="P219" i="14"/>
  <c r="O219" i="14"/>
  <c r="N219" i="14"/>
  <c r="M219" i="14"/>
  <c r="L219" i="14"/>
  <c r="K219" i="14"/>
  <c r="J219" i="14"/>
  <c r="I219" i="14"/>
  <c r="H219" i="14"/>
  <c r="G219" i="14"/>
  <c r="F219" i="14"/>
  <c r="E219" i="14"/>
  <c r="P218" i="14"/>
  <c r="O218" i="14"/>
  <c r="N218" i="14"/>
  <c r="M218" i="14"/>
  <c r="L218" i="14"/>
  <c r="K218" i="14"/>
  <c r="J218" i="14"/>
  <c r="I218" i="14"/>
  <c r="H218" i="14"/>
  <c r="G218" i="14"/>
  <c r="F218" i="14"/>
  <c r="E218" i="14"/>
  <c r="P217" i="14"/>
  <c r="O217" i="14"/>
  <c r="N217" i="14"/>
  <c r="M217" i="14"/>
  <c r="L217" i="14"/>
  <c r="K217" i="14"/>
  <c r="J217" i="14"/>
  <c r="I217" i="14"/>
  <c r="H217" i="14"/>
  <c r="G217" i="14"/>
  <c r="F217" i="14"/>
  <c r="E217" i="14"/>
  <c r="P216" i="14"/>
  <c r="O216" i="14"/>
  <c r="N216" i="14"/>
  <c r="M216" i="14"/>
  <c r="L216" i="14"/>
  <c r="K216" i="14"/>
  <c r="J216" i="14"/>
  <c r="I216" i="14"/>
  <c r="H216" i="14"/>
  <c r="G216" i="14"/>
  <c r="F216" i="14"/>
  <c r="E216" i="14"/>
  <c r="P215" i="14"/>
  <c r="O215" i="14"/>
  <c r="N215" i="14"/>
  <c r="M215" i="14"/>
  <c r="L215" i="14"/>
  <c r="K215" i="14"/>
  <c r="J215" i="14"/>
  <c r="I215" i="14"/>
  <c r="H215" i="14"/>
  <c r="G215" i="14"/>
  <c r="F215" i="14"/>
  <c r="E215" i="14"/>
  <c r="P214" i="14"/>
  <c r="O214" i="14"/>
  <c r="N214" i="14"/>
  <c r="M214" i="14"/>
  <c r="L214" i="14"/>
  <c r="K214" i="14"/>
  <c r="J214" i="14"/>
  <c r="I214" i="14"/>
  <c r="H214" i="14"/>
  <c r="G214" i="14"/>
  <c r="F214" i="14"/>
  <c r="E214" i="14"/>
  <c r="P213" i="14"/>
  <c r="O213" i="14"/>
  <c r="N213" i="14"/>
  <c r="M213" i="14"/>
  <c r="L213" i="14"/>
  <c r="K213" i="14"/>
  <c r="J213" i="14"/>
  <c r="I213" i="14"/>
  <c r="H213" i="14"/>
  <c r="G213" i="14"/>
  <c r="F213" i="14"/>
  <c r="E213" i="14"/>
  <c r="P212" i="14"/>
  <c r="O212" i="14"/>
  <c r="N212" i="14"/>
  <c r="M212" i="14"/>
  <c r="L212" i="14"/>
  <c r="K212" i="14"/>
  <c r="J212" i="14"/>
  <c r="I212" i="14"/>
  <c r="H212" i="14"/>
  <c r="G212" i="14"/>
  <c r="F212" i="14"/>
  <c r="E212" i="14"/>
  <c r="P211" i="14"/>
  <c r="O211" i="14"/>
  <c r="N211" i="14"/>
  <c r="M211" i="14"/>
  <c r="L211" i="14"/>
  <c r="K211" i="14"/>
  <c r="J211" i="14"/>
  <c r="I211" i="14"/>
  <c r="H211" i="14"/>
  <c r="G211" i="14"/>
  <c r="F211" i="14"/>
  <c r="E211" i="14"/>
  <c r="A211" i="14"/>
  <c r="P209" i="14"/>
  <c r="O209" i="14"/>
  <c r="N209" i="14"/>
  <c r="M209" i="14"/>
  <c r="L209" i="14"/>
  <c r="K209" i="14"/>
  <c r="J209" i="14"/>
  <c r="I209" i="14"/>
  <c r="H209" i="14"/>
  <c r="G209" i="14"/>
  <c r="F209" i="14"/>
  <c r="E209" i="14"/>
  <c r="P208" i="14"/>
  <c r="O208" i="14"/>
  <c r="N208" i="14"/>
  <c r="M208" i="14"/>
  <c r="L208" i="14"/>
  <c r="K208" i="14"/>
  <c r="J208" i="14"/>
  <c r="I208" i="14"/>
  <c r="H208" i="14"/>
  <c r="G208" i="14"/>
  <c r="F208" i="14"/>
  <c r="E208" i="14"/>
  <c r="P207" i="14"/>
  <c r="O207" i="14"/>
  <c r="N207" i="14"/>
  <c r="M207" i="14"/>
  <c r="L207" i="14"/>
  <c r="K207" i="14"/>
  <c r="J207" i="14"/>
  <c r="I207" i="14"/>
  <c r="H207" i="14"/>
  <c r="G207" i="14"/>
  <c r="F207" i="14"/>
  <c r="E207" i="14"/>
  <c r="P206" i="14"/>
  <c r="O206" i="14"/>
  <c r="N206" i="14"/>
  <c r="M206" i="14"/>
  <c r="L206" i="14"/>
  <c r="K206" i="14"/>
  <c r="J206" i="14"/>
  <c r="I206" i="14"/>
  <c r="H206" i="14"/>
  <c r="G206" i="14"/>
  <c r="F206" i="14"/>
  <c r="E206" i="14"/>
  <c r="P205" i="14"/>
  <c r="O205" i="14"/>
  <c r="N205" i="14"/>
  <c r="M205" i="14"/>
  <c r="L205" i="14"/>
  <c r="K205" i="14"/>
  <c r="J205" i="14"/>
  <c r="I205" i="14"/>
  <c r="H205" i="14"/>
  <c r="G205" i="14"/>
  <c r="F205" i="14"/>
  <c r="E205" i="14"/>
  <c r="P204" i="14"/>
  <c r="O204" i="14"/>
  <c r="N204" i="14"/>
  <c r="M204" i="14"/>
  <c r="L204" i="14"/>
  <c r="K204" i="14"/>
  <c r="J204" i="14"/>
  <c r="I204" i="14"/>
  <c r="H204" i="14"/>
  <c r="G204" i="14"/>
  <c r="F204" i="14"/>
  <c r="E204" i="14"/>
  <c r="P203" i="14"/>
  <c r="O203" i="14"/>
  <c r="N203" i="14"/>
  <c r="M203" i="14"/>
  <c r="L203" i="14"/>
  <c r="K203" i="14"/>
  <c r="J203" i="14"/>
  <c r="I203" i="14"/>
  <c r="H203" i="14"/>
  <c r="G203" i="14"/>
  <c r="F203" i="14"/>
  <c r="E203" i="14"/>
  <c r="P202" i="14"/>
  <c r="O202" i="14"/>
  <c r="N202" i="14"/>
  <c r="M202" i="14"/>
  <c r="L202" i="14"/>
  <c r="K202" i="14"/>
  <c r="J202" i="14"/>
  <c r="I202" i="14"/>
  <c r="H202" i="14"/>
  <c r="G202" i="14"/>
  <c r="F202" i="14"/>
  <c r="E202" i="14"/>
  <c r="P201" i="14"/>
  <c r="O201" i="14"/>
  <c r="N201" i="14"/>
  <c r="M201" i="14"/>
  <c r="L201" i="14"/>
  <c r="K201" i="14"/>
  <c r="J201" i="14"/>
  <c r="I201" i="14"/>
  <c r="H201" i="14"/>
  <c r="G201" i="14"/>
  <c r="F201" i="14"/>
  <c r="E201" i="14"/>
  <c r="P200" i="14"/>
  <c r="O200" i="14"/>
  <c r="N200" i="14"/>
  <c r="M200" i="14"/>
  <c r="L200" i="14"/>
  <c r="K200" i="14"/>
  <c r="J200" i="14"/>
  <c r="I200" i="14"/>
  <c r="H200" i="14"/>
  <c r="G200" i="14"/>
  <c r="F200" i="14"/>
  <c r="E200" i="14"/>
  <c r="P199" i="14"/>
  <c r="O199" i="14"/>
  <c r="N199" i="14"/>
  <c r="M199" i="14"/>
  <c r="L199" i="14"/>
  <c r="K199" i="14"/>
  <c r="J199" i="14"/>
  <c r="I199" i="14"/>
  <c r="H199" i="14"/>
  <c r="G199" i="14"/>
  <c r="F199" i="14"/>
  <c r="E199" i="14"/>
  <c r="P198" i="14"/>
  <c r="O198" i="14"/>
  <c r="N198" i="14"/>
  <c r="M198" i="14"/>
  <c r="L198" i="14"/>
  <c r="K198" i="14"/>
  <c r="J198" i="14"/>
  <c r="I198" i="14"/>
  <c r="H198" i="14"/>
  <c r="G198" i="14"/>
  <c r="F198" i="14"/>
  <c r="E198" i="14"/>
  <c r="P197" i="14"/>
  <c r="O197" i="14"/>
  <c r="N197" i="14"/>
  <c r="M197" i="14"/>
  <c r="L197" i="14"/>
  <c r="K197" i="14"/>
  <c r="J197" i="14"/>
  <c r="I197" i="14"/>
  <c r="H197" i="14"/>
  <c r="G197" i="14"/>
  <c r="F197" i="14"/>
  <c r="E197" i="14"/>
  <c r="P196" i="14"/>
  <c r="O196" i="14"/>
  <c r="N196" i="14"/>
  <c r="M196" i="14"/>
  <c r="L196" i="14"/>
  <c r="K196" i="14"/>
  <c r="J196" i="14"/>
  <c r="I196" i="14"/>
  <c r="H196" i="14"/>
  <c r="G196" i="14"/>
  <c r="F196" i="14"/>
  <c r="E196" i="14"/>
  <c r="A196" i="14"/>
  <c r="P194" i="14"/>
  <c r="O194" i="14"/>
  <c r="N194" i="14"/>
  <c r="M194" i="14"/>
  <c r="L194" i="14"/>
  <c r="K194" i="14"/>
  <c r="J194" i="14"/>
  <c r="I194" i="14"/>
  <c r="H194" i="14"/>
  <c r="G194" i="14"/>
  <c r="F194" i="14"/>
  <c r="E194" i="14"/>
  <c r="P193" i="14"/>
  <c r="O193" i="14"/>
  <c r="N193" i="14"/>
  <c r="M193" i="14"/>
  <c r="L193" i="14"/>
  <c r="K193" i="14"/>
  <c r="J193" i="14"/>
  <c r="I193" i="14"/>
  <c r="H193" i="14"/>
  <c r="G193" i="14"/>
  <c r="F193" i="14"/>
  <c r="E193" i="14"/>
  <c r="P192" i="14"/>
  <c r="O192" i="14"/>
  <c r="N192" i="14"/>
  <c r="M192" i="14"/>
  <c r="L192" i="14"/>
  <c r="K192" i="14"/>
  <c r="J192" i="14"/>
  <c r="I192" i="14"/>
  <c r="H192" i="14"/>
  <c r="G192" i="14"/>
  <c r="F192" i="14"/>
  <c r="E192" i="14"/>
  <c r="P191" i="14"/>
  <c r="O191" i="14"/>
  <c r="N191" i="14"/>
  <c r="M191" i="14"/>
  <c r="L191" i="14"/>
  <c r="K191" i="14"/>
  <c r="J191" i="14"/>
  <c r="I191" i="14"/>
  <c r="H191" i="14"/>
  <c r="G191" i="14"/>
  <c r="F191" i="14"/>
  <c r="E191" i="14"/>
  <c r="P190" i="14"/>
  <c r="O190" i="14"/>
  <c r="N190" i="14"/>
  <c r="M190" i="14"/>
  <c r="L190" i="14"/>
  <c r="K190" i="14"/>
  <c r="J190" i="14"/>
  <c r="I190" i="14"/>
  <c r="H190" i="14"/>
  <c r="G190" i="14"/>
  <c r="F190" i="14"/>
  <c r="E190" i="14"/>
  <c r="P189" i="14"/>
  <c r="O189" i="14"/>
  <c r="N189" i="14"/>
  <c r="M189" i="14"/>
  <c r="L189" i="14"/>
  <c r="K189" i="14"/>
  <c r="J189" i="14"/>
  <c r="I189" i="14"/>
  <c r="H189" i="14"/>
  <c r="G189" i="14"/>
  <c r="F189" i="14"/>
  <c r="E189" i="14"/>
  <c r="P188" i="14"/>
  <c r="O188" i="14"/>
  <c r="N188" i="14"/>
  <c r="M188" i="14"/>
  <c r="L188" i="14"/>
  <c r="K188" i="14"/>
  <c r="J188" i="14"/>
  <c r="I188" i="14"/>
  <c r="H188" i="14"/>
  <c r="G188" i="14"/>
  <c r="F188" i="14"/>
  <c r="E188" i="14"/>
  <c r="P187" i="14"/>
  <c r="O187" i="14"/>
  <c r="N187" i="14"/>
  <c r="M187" i="14"/>
  <c r="L187" i="14"/>
  <c r="K187" i="14"/>
  <c r="J187" i="14"/>
  <c r="I187" i="14"/>
  <c r="H187" i="14"/>
  <c r="G187" i="14"/>
  <c r="F187" i="14"/>
  <c r="E187" i="14"/>
  <c r="P186" i="14"/>
  <c r="O186" i="14"/>
  <c r="N186" i="14"/>
  <c r="M186" i="14"/>
  <c r="L186" i="14"/>
  <c r="K186" i="14"/>
  <c r="J186" i="14"/>
  <c r="I186" i="14"/>
  <c r="H186" i="14"/>
  <c r="G186" i="14"/>
  <c r="F186" i="14"/>
  <c r="E186" i="14"/>
  <c r="P185" i="14"/>
  <c r="O185" i="14"/>
  <c r="N185" i="14"/>
  <c r="M185" i="14"/>
  <c r="L185" i="14"/>
  <c r="K185" i="14"/>
  <c r="J185" i="14"/>
  <c r="I185" i="14"/>
  <c r="H185" i="14"/>
  <c r="G185" i="14"/>
  <c r="F185" i="14"/>
  <c r="E185" i="14"/>
  <c r="P184" i="14"/>
  <c r="O184" i="14"/>
  <c r="N184" i="14"/>
  <c r="M184" i="14"/>
  <c r="L184" i="14"/>
  <c r="K184" i="14"/>
  <c r="J184" i="14"/>
  <c r="I184" i="14"/>
  <c r="H184" i="14"/>
  <c r="G184" i="14"/>
  <c r="F184" i="14"/>
  <c r="E184" i="14"/>
  <c r="P183" i="14"/>
  <c r="O183" i="14"/>
  <c r="N183" i="14"/>
  <c r="M183" i="14"/>
  <c r="L183" i="14"/>
  <c r="K183" i="14"/>
  <c r="J183" i="14"/>
  <c r="I183" i="14"/>
  <c r="H183" i="14"/>
  <c r="G183" i="14"/>
  <c r="F183" i="14"/>
  <c r="E183" i="14"/>
  <c r="P182" i="14"/>
  <c r="O182" i="14"/>
  <c r="N182" i="14"/>
  <c r="M182" i="14"/>
  <c r="L182" i="14"/>
  <c r="K182" i="14"/>
  <c r="J182" i="14"/>
  <c r="I182" i="14"/>
  <c r="H182" i="14"/>
  <c r="G182" i="14"/>
  <c r="F182" i="14"/>
  <c r="E182" i="14"/>
  <c r="P181" i="14"/>
  <c r="O181" i="14"/>
  <c r="N181" i="14"/>
  <c r="M181" i="14"/>
  <c r="L181" i="14"/>
  <c r="K181" i="14"/>
  <c r="J181" i="14"/>
  <c r="I181" i="14"/>
  <c r="H181" i="14"/>
  <c r="G181" i="14"/>
  <c r="F181" i="14"/>
  <c r="E181" i="14"/>
  <c r="A181" i="14"/>
  <c r="P179" i="14"/>
  <c r="O179" i="14"/>
  <c r="N179" i="14"/>
  <c r="M179" i="14"/>
  <c r="L179" i="14"/>
  <c r="K179" i="14"/>
  <c r="J179" i="14"/>
  <c r="I179" i="14"/>
  <c r="H179" i="14"/>
  <c r="G179" i="14"/>
  <c r="F179" i="14"/>
  <c r="E179" i="14"/>
  <c r="P178" i="14"/>
  <c r="O178" i="14"/>
  <c r="N178" i="14"/>
  <c r="M178" i="14"/>
  <c r="L178" i="14"/>
  <c r="K178" i="14"/>
  <c r="J178" i="14"/>
  <c r="I178" i="14"/>
  <c r="H178" i="14"/>
  <c r="G178" i="14"/>
  <c r="F178" i="14"/>
  <c r="E178" i="14"/>
  <c r="P177" i="14"/>
  <c r="O177" i="14"/>
  <c r="N177" i="14"/>
  <c r="M177" i="14"/>
  <c r="L177" i="14"/>
  <c r="K177" i="14"/>
  <c r="J177" i="14"/>
  <c r="I177" i="14"/>
  <c r="H177" i="14"/>
  <c r="G177" i="14"/>
  <c r="F177" i="14"/>
  <c r="E177" i="14"/>
  <c r="P176" i="14"/>
  <c r="O176" i="14"/>
  <c r="N176" i="14"/>
  <c r="M176" i="14"/>
  <c r="L176" i="14"/>
  <c r="K176" i="14"/>
  <c r="J176" i="14"/>
  <c r="I176" i="14"/>
  <c r="H176" i="14"/>
  <c r="G176" i="14"/>
  <c r="F176" i="14"/>
  <c r="E176" i="14"/>
  <c r="P175" i="14"/>
  <c r="O175" i="14"/>
  <c r="N175" i="14"/>
  <c r="M175" i="14"/>
  <c r="L175" i="14"/>
  <c r="K175" i="14"/>
  <c r="J175" i="14"/>
  <c r="I175" i="14"/>
  <c r="H175" i="14"/>
  <c r="G175" i="14"/>
  <c r="F175" i="14"/>
  <c r="E175" i="14"/>
  <c r="P174" i="14"/>
  <c r="O174" i="14"/>
  <c r="N174" i="14"/>
  <c r="M174" i="14"/>
  <c r="L174" i="14"/>
  <c r="K174" i="14"/>
  <c r="J174" i="14"/>
  <c r="I174" i="14"/>
  <c r="H174" i="14"/>
  <c r="G174" i="14"/>
  <c r="F174" i="14"/>
  <c r="E174" i="14"/>
  <c r="P173" i="14"/>
  <c r="O173" i="14"/>
  <c r="N173" i="14"/>
  <c r="M173" i="14"/>
  <c r="L173" i="14"/>
  <c r="K173" i="14"/>
  <c r="J173" i="14"/>
  <c r="I173" i="14"/>
  <c r="H173" i="14"/>
  <c r="G173" i="14"/>
  <c r="F173" i="14"/>
  <c r="E173" i="14"/>
  <c r="P172" i="14"/>
  <c r="O172" i="14"/>
  <c r="N172" i="14"/>
  <c r="M172" i="14"/>
  <c r="L172" i="14"/>
  <c r="K172" i="14"/>
  <c r="J172" i="14"/>
  <c r="I172" i="14"/>
  <c r="H172" i="14"/>
  <c r="G172" i="14"/>
  <c r="F172" i="14"/>
  <c r="E172" i="14"/>
  <c r="P171" i="14"/>
  <c r="O171" i="14"/>
  <c r="N171" i="14"/>
  <c r="M171" i="14"/>
  <c r="L171" i="14"/>
  <c r="K171" i="14"/>
  <c r="J171" i="14"/>
  <c r="I171" i="14"/>
  <c r="H171" i="14"/>
  <c r="G171" i="14"/>
  <c r="F171" i="14"/>
  <c r="E171" i="14"/>
  <c r="P170" i="14"/>
  <c r="O170" i="14"/>
  <c r="N170" i="14"/>
  <c r="M170" i="14"/>
  <c r="L170" i="14"/>
  <c r="K170" i="14"/>
  <c r="J170" i="14"/>
  <c r="I170" i="14"/>
  <c r="H170" i="14"/>
  <c r="G170" i="14"/>
  <c r="F170" i="14"/>
  <c r="E170" i="14"/>
  <c r="P169" i="14"/>
  <c r="O169" i="14"/>
  <c r="N169" i="14"/>
  <c r="M169" i="14"/>
  <c r="L169" i="14"/>
  <c r="K169" i="14"/>
  <c r="J169" i="14"/>
  <c r="I169" i="14"/>
  <c r="H169" i="14"/>
  <c r="G169" i="14"/>
  <c r="F169" i="14"/>
  <c r="E169" i="14"/>
  <c r="P168" i="14"/>
  <c r="O168" i="14"/>
  <c r="N168" i="14"/>
  <c r="M168" i="14"/>
  <c r="L168" i="14"/>
  <c r="K168" i="14"/>
  <c r="J168" i="14"/>
  <c r="I168" i="14"/>
  <c r="H168" i="14"/>
  <c r="G168" i="14"/>
  <c r="F168" i="14"/>
  <c r="E168" i="14"/>
  <c r="P167" i="14"/>
  <c r="O167" i="14"/>
  <c r="N167" i="14"/>
  <c r="M167" i="14"/>
  <c r="L167" i="14"/>
  <c r="K167" i="14"/>
  <c r="J167" i="14"/>
  <c r="I167" i="14"/>
  <c r="H167" i="14"/>
  <c r="G167" i="14"/>
  <c r="F167" i="14"/>
  <c r="E167" i="14"/>
  <c r="P166" i="14"/>
  <c r="O166" i="14"/>
  <c r="N166" i="14"/>
  <c r="M166" i="14"/>
  <c r="L166" i="14"/>
  <c r="K166" i="14"/>
  <c r="J166" i="14"/>
  <c r="I166" i="14"/>
  <c r="H166" i="14"/>
  <c r="G166" i="14"/>
  <c r="F166" i="14"/>
  <c r="E166" i="14"/>
  <c r="A166" i="14"/>
  <c r="P164" i="14"/>
  <c r="O164" i="14"/>
  <c r="N164" i="14"/>
  <c r="M164" i="14"/>
  <c r="L164" i="14"/>
  <c r="K164" i="14"/>
  <c r="J164" i="14"/>
  <c r="I164" i="14"/>
  <c r="H164" i="14"/>
  <c r="G164" i="14"/>
  <c r="F164" i="14"/>
  <c r="E164" i="14"/>
  <c r="P163" i="14"/>
  <c r="O163" i="14"/>
  <c r="N163" i="14"/>
  <c r="M163" i="14"/>
  <c r="L163" i="14"/>
  <c r="K163" i="14"/>
  <c r="J163" i="14"/>
  <c r="I163" i="14"/>
  <c r="H163" i="14"/>
  <c r="G163" i="14"/>
  <c r="F163" i="14"/>
  <c r="E163" i="14"/>
  <c r="P162" i="14"/>
  <c r="O162" i="14"/>
  <c r="N162" i="14"/>
  <c r="M162" i="14"/>
  <c r="L162" i="14"/>
  <c r="K162" i="14"/>
  <c r="J162" i="14"/>
  <c r="I162" i="14"/>
  <c r="H162" i="14"/>
  <c r="G162" i="14"/>
  <c r="F162" i="14"/>
  <c r="E162" i="14"/>
  <c r="P161" i="14"/>
  <c r="O161" i="14"/>
  <c r="N161" i="14"/>
  <c r="M161" i="14"/>
  <c r="L161" i="14"/>
  <c r="K161" i="14"/>
  <c r="J161" i="14"/>
  <c r="I161" i="14"/>
  <c r="H161" i="14"/>
  <c r="G161" i="14"/>
  <c r="F161" i="14"/>
  <c r="E161" i="14"/>
  <c r="P160" i="14"/>
  <c r="O160" i="14"/>
  <c r="N160" i="14"/>
  <c r="M160" i="14"/>
  <c r="L160" i="14"/>
  <c r="K160" i="14"/>
  <c r="J160" i="14"/>
  <c r="I160" i="14"/>
  <c r="H160" i="14"/>
  <c r="G160" i="14"/>
  <c r="F160" i="14"/>
  <c r="E160" i="14"/>
  <c r="P159" i="14"/>
  <c r="O159" i="14"/>
  <c r="N159" i="14"/>
  <c r="M159" i="14"/>
  <c r="L159" i="14"/>
  <c r="K159" i="14"/>
  <c r="J159" i="14"/>
  <c r="I159" i="14"/>
  <c r="H159" i="14"/>
  <c r="G159" i="14"/>
  <c r="F159" i="14"/>
  <c r="E159" i="14"/>
  <c r="P158" i="14"/>
  <c r="O158" i="14"/>
  <c r="N158" i="14"/>
  <c r="M158" i="14"/>
  <c r="L158" i="14"/>
  <c r="K158" i="14"/>
  <c r="J158" i="14"/>
  <c r="I158" i="14"/>
  <c r="H158" i="14"/>
  <c r="G158" i="14"/>
  <c r="F158" i="14"/>
  <c r="E158" i="14"/>
  <c r="P157" i="14"/>
  <c r="O157" i="14"/>
  <c r="N157" i="14"/>
  <c r="M157" i="14"/>
  <c r="L157" i="14"/>
  <c r="K157" i="14"/>
  <c r="J157" i="14"/>
  <c r="I157" i="14"/>
  <c r="H157" i="14"/>
  <c r="G157" i="14"/>
  <c r="F157" i="14"/>
  <c r="E157" i="14"/>
  <c r="P156" i="14"/>
  <c r="O156" i="14"/>
  <c r="N156" i="14"/>
  <c r="M156" i="14"/>
  <c r="L156" i="14"/>
  <c r="K156" i="14"/>
  <c r="J156" i="14"/>
  <c r="I156" i="14"/>
  <c r="H156" i="14"/>
  <c r="G156" i="14"/>
  <c r="F156" i="14"/>
  <c r="E156" i="14"/>
  <c r="P155" i="14"/>
  <c r="O155" i="14"/>
  <c r="N155" i="14"/>
  <c r="M155" i="14"/>
  <c r="L155" i="14"/>
  <c r="K155" i="14"/>
  <c r="J155" i="14"/>
  <c r="I155" i="14"/>
  <c r="H155" i="14"/>
  <c r="G155" i="14"/>
  <c r="F155" i="14"/>
  <c r="E155" i="14"/>
  <c r="P154" i="14"/>
  <c r="O154" i="14"/>
  <c r="N154" i="14"/>
  <c r="M154" i="14"/>
  <c r="L154" i="14"/>
  <c r="K154" i="14"/>
  <c r="J154" i="14"/>
  <c r="I154" i="14"/>
  <c r="H154" i="14"/>
  <c r="G154" i="14"/>
  <c r="F154" i="14"/>
  <c r="E154" i="14"/>
  <c r="P153" i="14"/>
  <c r="O153" i="14"/>
  <c r="N153" i="14"/>
  <c r="M153" i="14"/>
  <c r="L153" i="14"/>
  <c r="K153" i="14"/>
  <c r="J153" i="14"/>
  <c r="I153" i="14"/>
  <c r="H153" i="14"/>
  <c r="G153" i="14"/>
  <c r="F153" i="14"/>
  <c r="E153" i="14"/>
  <c r="P152" i="14"/>
  <c r="O152" i="14"/>
  <c r="N152" i="14"/>
  <c r="M152" i="14"/>
  <c r="L152" i="14"/>
  <c r="K152" i="14"/>
  <c r="J152" i="14"/>
  <c r="I152" i="14"/>
  <c r="H152" i="14"/>
  <c r="G152" i="14"/>
  <c r="F152" i="14"/>
  <c r="E152" i="14"/>
  <c r="P151" i="14"/>
  <c r="O151" i="14"/>
  <c r="N151" i="14"/>
  <c r="M151" i="14"/>
  <c r="L151" i="14"/>
  <c r="K151" i="14"/>
  <c r="J151" i="14"/>
  <c r="I151" i="14"/>
  <c r="H151" i="14"/>
  <c r="G151" i="14"/>
  <c r="F151" i="14"/>
  <c r="E151" i="14"/>
  <c r="A151" i="14"/>
  <c r="P149" i="14"/>
  <c r="O149" i="14"/>
  <c r="N149" i="14"/>
  <c r="M149" i="14"/>
  <c r="L149" i="14"/>
  <c r="K149" i="14"/>
  <c r="J149" i="14"/>
  <c r="I149" i="14"/>
  <c r="H149" i="14"/>
  <c r="G149" i="14"/>
  <c r="F149" i="14"/>
  <c r="E149" i="14"/>
  <c r="P148" i="14"/>
  <c r="O148" i="14"/>
  <c r="N148" i="14"/>
  <c r="M148" i="14"/>
  <c r="L148" i="14"/>
  <c r="K148" i="14"/>
  <c r="J148" i="14"/>
  <c r="I148" i="14"/>
  <c r="H148" i="14"/>
  <c r="G148" i="14"/>
  <c r="F148" i="14"/>
  <c r="E148" i="14"/>
  <c r="P147" i="14"/>
  <c r="O147" i="14"/>
  <c r="N147" i="14"/>
  <c r="M147" i="14"/>
  <c r="L147" i="14"/>
  <c r="K147" i="14"/>
  <c r="J147" i="14"/>
  <c r="I147" i="14"/>
  <c r="H147" i="14"/>
  <c r="G147" i="14"/>
  <c r="F147" i="14"/>
  <c r="E147" i="14"/>
  <c r="P146" i="14"/>
  <c r="O146" i="14"/>
  <c r="N146" i="14"/>
  <c r="M146" i="14"/>
  <c r="L146" i="14"/>
  <c r="K146" i="14"/>
  <c r="J146" i="14"/>
  <c r="I146" i="14"/>
  <c r="H146" i="14"/>
  <c r="G146" i="14"/>
  <c r="F146" i="14"/>
  <c r="E146" i="14"/>
  <c r="P145" i="14"/>
  <c r="O145" i="14"/>
  <c r="N145" i="14"/>
  <c r="M145" i="14"/>
  <c r="L145" i="14"/>
  <c r="K145" i="14"/>
  <c r="J145" i="14"/>
  <c r="I145" i="14"/>
  <c r="H145" i="14"/>
  <c r="G145" i="14"/>
  <c r="F145" i="14"/>
  <c r="E145" i="14"/>
  <c r="P144" i="14"/>
  <c r="O144" i="14"/>
  <c r="N144" i="14"/>
  <c r="M144" i="14"/>
  <c r="L144" i="14"/>
  <c r="K144" i="14"/>
  <c r="J144" i="14"/>
  <c r="I144" i="14"/>
  <c r="H144" i="14"/>
  <c r="G144" i="14"/>
  <c r="F144" i="14"/>
  <c r="E144" i="14"/>
  <c r="P143" i="14"/>
  <c r="O143" i="14"/>
  <c r="N143" i="14"/>
  <c r="M143" i="14"/>
  <c r="L143" i="14"/>
  <c r="K143" i="14"/>
  <c r="J143" i="14"/>
  <c r="I143" i="14"/>
  <c r="H143" i="14"/>
  <c r="G143" i="14"/>
  <c r="F143" i="14"/>
  <c r="E143" i="14"/>
  <c r="P142" i="14"/>
  <c r="O142" i="14"/>
  <c r="N142" i="14"/>
  <c r="M142" i="14"/>
  <c r="L142" i="14"/>
  <c r="K142" i="14"/>
  <c r="J142" i="14"/>
  <c r="I142" i="14"/>
  <c r="H142" i="14"/>
  <c r="G142" i="14"/>
  <c r="F142" i="14"/>
  <c r="E142" i="14"/>
  <c r="P141" i="14"/>
  <c r="O141" i="14"/>
  <c r="N141" i="14"/>
  <c r="M141" i="14"/>
  <c r="L141" i="14"/>
  <c r="K141" i="14"/>
  <c r="J141" i="14"/>
  <c r="I141" i="14"/>
  <c r="H141" i="14"/>
  <c r="G141" i="14"/>
  <c r="F141" i="14"/>
  <c r="E141" i="14"/>
  <c r="P140" i="14"/>
  <c r="O140" i="14"/>
  <c r="N140" i="14"/>
  <c r="M140" i="14"/>
  <c r="L140" i="14"/>
  <c r="K140" i="14"/>
  <c r="J140" i="14"/>
  <c r="I140" i="14"/>
  <c r="H140" i="14"/>
  <c r="G140" i="14"/>
  <c r="F140" i="14"/>
  <c r="E140" i="14"/>
  <c r="P139" i="14"/>
  <c r="O139" i="14"/>
  <c r="N139" i="14"/>
  <c r="M139" i="14"/>
  <c r="L139" i="14"/>
  <c r="K139" i="14"/>
  <c r="J139" i="14"/>
  <c r="I139" i="14"/>
  <c r="H139" i="14"/>
  <c r="G139" i="14"/>
  <c r="F139" i="14"/>
  <c r="E139" i="14"/>
  <c r="P138" i="14"/>
  <c r="O138" i="14"/>
  <c r="N138" i="14"/>
  <c r="M138" i="14"/>
  <c r="L138" i="14"/>
  <c r="K138" i="14"/>
  <c r="J138" i="14"/>
  <c r="I138" i="14"/>
  <c r="H138" i="14"/>
  <c r="G138" i="14"/>
  <c r="F138" i="14"/>
  <c r="E138" i="14"/>
  <c r="P137" i="14"/>
  <c r="O137" i="14"/>
  <c r="N137" i="14"/>
  <c r="M137" i="14"/>
  <c r="L137" i="14"/>
  <c r="K137" i="14"/>
  <c r="J137" i="14"/>
  <c r="I137" i="14"/>
  <c r="H137" i="14"/>
  <c r="G137" i="14"/>
  <c r="F137" i="14"/>
  <c r="E137" i="14"/>
  <c r="P136" i="14"/>
  <c r="O136" i="14"/>
  <c r="N136" i="14"/>
  <c r="M136" i="14"/>
  <c r="L136" i="14"/>
  <c r="K136" i="14"/>
  <c r="J136" i="14"/>
  <c r="I136" i="14"/>
  <c r="H136" i="14"/>
  <c r="G136" i="14"/>
  <c r="F136" i="14"/>
  <c r="E136" i="14"/>
  <c r="A136" i="14"/>
  <c r="P134" i="14"/>
  <c r="O134" i="14"/>
  <c r="N134" i="14"/>
  <c r="M134" i="14"/>
  <c r="L134" i="14"/>
  <c r="K134" i="14"/>
  <c r="J134" i="14"/>
  <c r="I134" i="14"/>
  <c r="H134" i="14"/>
  <c r="G134" i="14"/>
  <c r="F134" i="14"/>
  <c r="E134" i="14"/>
  <c r="P133" i="14"/>
  <c r="O133" i="14"/>
  <c r="N133" i="14"/>
  <c r="M133" i="14"/>
  <c r="L133" i="14"/>
  <c r="K133" i="14"/>
  <c r="J133" i="14"/>
  <c r="I133" i="14"/>
  <c r="H133" i="14"/>
  <c r="G133" i="14"/>
  <c r="F133" i="14"/>
  <c r="E133" i="14"/>
  <c r="P132" i="14"/>
  <c r="O132" i="14"/>
  <c r="N132" i="14"/>
  <c r="M132" i="14"/>
  <c r="L132" i="14"/>
  <c r="K132" i="14"/>
  <c r="J132" i="14"/>
  <c r="I132" i="14"/>
  <c r="H132" i="14"/>
  <c r="G132" i="14"/>
  <c r="F132" i="14"/>
  <c r="E132" i="14"/>
  <c r="P131" i="14"/>
  <c r="O131" i="14"/>
  <c r="N131" i="14"/>
  <c r="M131" i="14"/>
  <c r="L131" i="14"/>
  <c r="K131" i="14"/>
  <c r="J131" i="14"/>
  <c r="I131" i="14"/>
  <c r="H131" i="14"/>
  <c r="G131" i="14"/>
  <c r="F131" i="14"/>
  <c r="E131" i="14"/>
  <c r="P130" i="14"/>
  <c r="O130" i="14"/>
  <c r="N130" i="14"/>
  <c r="M130" i="14"/>
  <c r="L130" i="14"/>
  <c r="K130" i="14"/>
  <c r="J130" i="14"/>
  <c r="I130" i="14"/>
  <c r="H130" i="14"/>
  <c r="G130" i="14"/>
  <c r="F130" i="14"/>
  <c r="E130" i="14"/>
  <c r="P129" i="14"/>
  <c r="O129" i="14"/>
  <c r="N129" i="14"/>
  <c r="M129" i="14"/>
  <c r="L129" i="14"/>
  <c r="K129" i="14"/>
  <c r="J129" i="14"/>
  <c r="I129" i="14"/>
  <c r="H129" i="14"/>
  <c r="G129" i="14"/>
  <c r="F129" i="14"/>
  <c r="E129" i="14"/>
  <c r="P128" i="14"/>
  <c r="O128" i="14"/>
  <c r="N128" i="14"/>
  <c r="M128" i="14"/>
  <c r="L128" i="14"/>
  <c r="K128" i="14"/>
  <c r="J128" i="14"/>
  <c r="I128" i="14"/>
  <c r="H128" i="14"/>
  <c r="G128" i="14"/>
  <c r="F128" i="14"/>
  <c r="E128" i="14"/>
  <c r="P127" i="14"/>
  <c r="O127" i="14"/>
  <c r="N127" i="14"/>
  <c r="M127" i="14"/>
  <c r="L127" i="14"/>
  <c r="K127" i="14"/>
  <c r="J127" i="14"/>
  <c r="I127" i="14"/>
  <c r="H127" i="14"/>
  <c r="G127" i="14"/>
  <c r="F127" i="14"/>
  <c r="E127" i="14"/>
  <c r="P126" i="14"/>
  <c r="O126" i="14"/>
  <c r="N126" i="14"/>
  <c r="M126" i="14"/>
  <c r="L126" i="14"/>
  <c r="K126" i="14"/>
  <c r="J126" i="14"/>
  <c r="I126" i="14"/>
  <c r="H126" i="14"/>
  <c r="G126" i="14"/>
  <c r="F126" i="14"/>
  <c r="E126" i="14"/>
  <c r="P125" i="14"/>
  <c r="O125" i="14"/>
  <c r="N125" i="14"/>
  <c r="M125" i="14"/>
  <c r="L125" i="14"/>
  <c r="K125" i="14"/>
  <c r="J125" i="14"/>
  <c r="I125" i="14"/>
  <c r="H125" i="14"/>
  <c r="G125" i="14"/>
  <c r="F125" i="14"/>
  <c r="E125" i="14"/>
  <c r="P124" i="14"/>
  <c r="O124" i="14"/>
  <c r="N124" i="14"/>
  <c r="M124" i="14"/>
  <c r="L124" i="14"/>
  <c r="K124" i="14"/>
  <c r="J124" i="14"/>
  <c r="I124" i="14"/>
  <c r="H124" i="14"/>
  <c r="G124" i="14"/>
  <c r="F124" i="14"/>
  <c r="E124" i="14"/>
  <c r="P123" i="14"/>
  <c r="O123" i="14"/>
  <c r="N123" i="14"/>
  <c r="M123" i="14"/>
  <c r="L123" i="14"/>
  <c r="K123" i="14"/>
  <c r="J123" i="14"/>
  <c r="I123" i="14"/>
  <c r="H123" i="14"/>
  <c r="G123" i="14"/>
  <c r="F123" i="14"/>
  <c r="E123" i="14"/>
  <c r="P122" i="14"/>
  <c r="O122" i="14"/>
  <c r="N122" i="14"/>
  <c r="M122" i="14"/>
  <c r="L122" i="14"/>
  <c r="K122" i="14"/>
  <c r="J122" i="14"/>
  <c r="I122" i="14"/>
  <c r="H122" i="14"/>
  <c r="G122" i="14"/>
  <c r="F122" i="14"/>
  <c r="E122" i="14"/>
  <c r="P121" i="14"/>
  <c r="O121" i="14"/>
  <c r="N121" i="14"/>
  <c r="M121" i="14"/>
  <c r="L121" i="14"/>
  <c r="K121" i="14"/>
  <c r="J121" i="14"/>
  <c r="I121" i="14"/>
  <c r="H121" i="14"/>
  <c r="G121" i="14"/>
  <c r="F121" i="14"/>
  <c r="E121" i="14"/>
  <c r="A121" i="14"/>
  <c r="A120" i="14"/>
  <c r="P118" i="14"/>
  <c r="O118" i="14"/>
  <c r="N118" i="14"/>
  <c r="M118" i="14"/>
  <c r="L118" i="14"/>
  <c r="K118" i="14"/>
  <c r="J118" i="14"/>
  <c r="I118" i="14"/>
  <c r="H118" i="14"/>
  <c r="G118" i="14"/>
  <c r="F118" i="14"/>
  <c r="E118" i="14"/>
  <c r="P116" i="14"/>
  <c r="O116" i="14"/>
  <c r="N116" i="14"/>
  <c r="M116" i="14"/>
  <c r="L116" i="14"/>
  <c r="K116" i="14"/>
  <c r="J116" i="14"/>
  <c r="I116" i="14"/>
  <c r="H116" i="14"/>
  <c r="G116" i="14"/>
  <c r="F116" i="14"/>
  <c r="E116" i="14"/>
  <c r="P115" i="14"/>
  <c r="O115" i="14"/>
  <c r="N115" i="14"/>
  <c r="M115" i="14"/>
  <c r="L115" i="14"/>
  <c r="K115" i="14"/>
  <c r="J115" i="14"/>
  <c r="I115" i="14"/>
  <c r="H115" i="14"/>
  <c r="G115" i="14"/>
  <c r="F115" i="14"/>
  <c r="E115" i="14"/>
  <c r="P114" i="14"/>
  <c r="O114" i="14"/>
  <c r="N114" i="14"/>
  <c r="M114" i="14"/>
  <c r="L114" i="14"/>
  <c r="K114" i="14"/>
  <c r="J114" i="14"/>
  <c r="I114" i="14"/>
  <c r="H114" i="14"/>
  <c r="G114" i="14"/>
  <c r="F114" i="14"/>
  <c r="E114" i="14"/>
  <c r="P113" i="14"/>
  <c r="O113" i="14"/>
  <c r="N113" i="14"/>
  <c r="M113" i="14"/>
  <c r="L113" i="14"/>
  <c r="K113" i="14"/>
  <c r="J113" i="14"/>
  <c r="I113" i="14"/>
  <c r="H113" i="14"/>
  <c r="G113" i="14"/>
  <c r="F113" i="14"/>
  <c r="E113" i="14"/>
  <c r="P112" i="14"/>
  <c r="O112" i="14"/>
  <c r="N112" i="14"/>
  <c r="M112" i="14"/>
  <c r="L112" i="14"/>
  <c r="K112" i="14"/>
  <c r="J112" i="14"/>
  <c r="I112" i="14"/>
  <c r="H112" i="14"/>
  <c r="G112" i="14"/>
  <c r="F112" i="14"/>
  <c r="E112" i="14"/>
  <c r="P111" i="14"/>
  <c r="O111" i="14"/>
  <c r="N111" i="14"/>
  <c r="M111" i="14"/>
  <c r="L111" i="14"/>
  <c r="K111" i="14"/>
  <c r="J111" i="14"/>
  <c r="I111" i="14"/>
  <c r="H111" i="14"/>
  <c r="G111" i="14"/>
  <c r="F111" i="14"/>
  <c r="E111" i="14"/>
  <c r="P110" i="14"/>
  <c r="O110" i="14"/>
  <c r="N110" i="14"/>
  <c r="M110" i="14"/>
  <c r="L110" i="14"/>
  <c r="K110" i="14"/>
  <c r="J110" i="14"/>
  <c r="I110" i="14"/>
  <c r="H110" i="14"/>
  <c r="G110" i="14"/>
  <c r="F110" i="14"/>
  <c r="E110" i="14"/>
  <c r="P109" i="14"/>
  <c r="O109" i="14"/>
  <c r="N109" i="14"/>
  <c r="M109" i="14"/>
  <c r="L109" i="14"/>
  <c r="K109" i="14"/>
  <c r="J109" i="14"/>
  <c r="I109" i="14"/>
  <c r="H109" i="14"/>
  <c r="G109" i="14"/>
  <c r="F109" i="14"/>
  <c r="E109" i="14"/>
  <c r="P108" i="14"/>
  <c r="O108" i="14"/>
  <c r="N108" i="14"/>
  <c r="M108" i="14"/>
  <c r="L108" i="14"/>
  <c r="K108" i="14"/>
  <c r="J108" i="14"/>
  <c r="I108" i="14"/>
  <c r="H108" i="14"/>
  <c r="G108" i="14"/>
  <c r="F108" i="14"/>
  <c r="E108" i="14"/>
  <c r="P107" i="14"/>
  <c r="O107" i="14"/>
  <c r="N107" i="14"/>
  <c r="M107" i="14"/>
  <c r="L107" i="14"/>
  <c r="K107" i="14"/>
  <c r="J107" i="14"/>
  <c r="I107" i="14"/>
  <c r="H107" i="14"/>
  <c r="G107" i="14"/>
  <c r="F107" i="14"/>
  <c r="E107" i="14"/>
  <c r="P106" i="14"/>
  <c r="O106" i="14"/>
  <c r="N106" i="14"/>
  <c r="M106" i="14"/>
  <c r="L106" i="14"/>
  <c r="K106" i="14"/>
  <c r="J106" i="14"/>
  <c r="I106" i="14"/>
  <c r="H106" i="14"/>
  <c r="G106" i="14"/>
  <c r="F106" i="14"/>
  <c r="E106" i="14"/>
  <c r="P105" i="14"/>
  <c r="O105" i="14"/>
  <c r="N105" i="14"/>
  <c r="M105" i="14"/>
  <c r="L105" i="14"/>
  <c r="K105" i="14"/>
  <c r="J105" i="14"/>
  <c r="I105" i="14"/>
  <c r="H105" i="14"/>
  <c r="G105" i="14"/>
  <c r="F105" i="14"/>
  <c r="E105" i="14"/>
  <c r="P104" i="14"/>
  <c r="O104" i="14"/>
  <c r="N104" i="14"/>
  <c r="M104" i="14"/>
  <c r="L104" i="14"/>
  <c r="K104" i="14"/>
  <c r="J104" i="14"/>
  <c r="I104" i="14"/>
  <c r="H104" i="14"/>
  <c r="G104" i="14"/>
  <c r="F104" i="14"/>
  <c r="E104" i="14"/>
  <c r="P103" i="14"/>
  <c r="O103" i="14"/>
  <c r="N103" i="14"/>
  <c r="M103" i="14"/>
  <c r="L103" i="14"/>
  <c r="K103" i="14"/>
  <c r="J103" i="14"/>
  <c r="I103" i="14"/>
  <c r="H103" i="14"/>
  <c r="G103" i="14"/>
  <c r="F103" i="14"/>
  <c r="E103" i="14"/>
  <c r="P101" i="14"/>
  <c r="O101" i="14"/>
  <c r="N101" i="14"/>
  <c r="M101" i="14"/>
  <c r="L101" i="14"/>
  <c r="K101" i="14"/>
  <c r="J101" i="14"/>
  <c r="I101" i="14"/>
  <c r="H101" i="14"/>
  <c r="G101" i="14"/>
  <c r="F101" i="14"/>
  <c r="E101" i="14"/>
  <c r="P100" i="14"/>
  <c r="O100" i="14"/>
  <c r="N100" i="14"/>
  <c r="M100" i="14"/>
  <c r="L100" i="14"/>
  <c r="K100" i="14"/>
  <c r="J100" i="14"/>
  <c r="I100" i="14"/>
  <c r="H100" i="14"/>
  <c r="G100" i="14"/>
  <c r="F100" i="14"/>
  <c r="E100" i="14"/>
  <c r="P99" i="14"/>
  <c r="O99" i="14"/>
  <c r="N99" i="14"/>
  <c r="M99" i="14"/>
  <c r="L99" i="14"/>
  <c r="K99" i="14"/>
  <c r="J99" i="14"/>
  <c r="I99" i="14"/>
  <c r="H99" i="14"/>
  <c r="G99" i="14"/>
  <c r="F99" i="14"/>
  <c r="E99" i="14"/>
  <c r="P98" i="14"/>
  <c r="O98" i="14"/>
  <c r="N98" i="14"/>
  <c r="M98" i="14"/>
  <c r="L98" i="14"/>
  <c r="K98" i="14"/>
  <c r="J98" i="14"/>
  <c r="I98" i="14"/>
  <c r="H98" i="14"/>
  <c r="G98" i="14"/>
  <c r="F98" i="14"/>
  <c r="E98" i="14"/>
  <c r="P97" i="14"/>
  <c r="O97" i="14"/>
  <c r="N97" i="14"/>
  <c r="M97" i="14"/>
  <c r="L97" i="14"/>
  <c r="K97" i="14"/>
  <c r="J97" i="14"/>
  <c r="I97" i="14"/>
  <c r="H97" i="14"/>
  <c r="G97" i="14"/>
  <c r="F97" i="14"/>
  <c r="E97" i="14"/>
  <c r="P96" i="14"/>
  <c r="O96" i="14"/>
  <c r="N96" i="14"/>
  <c r="M96" i="14"/>
  <c r="L96" i="14"/>
  <c r="K96" i="14"/>
  <c r="J96" i="14"/>
  <c r="I96" i="14"/>
  <c r="H96" i="14"/>
  <c r="G96" i="14"/>
  <c r="F96" i="14"/>
  <c r="E96" i="14"/>
  <c r="P95" i="14"/>
  <c r="O95" i="14"/>
  <c r="N95" i="14"/>
  <c r="M95" i="14"/>
  <c r="L95" i="14"/>
  <c r="K95" i="14"/>
  <c r="J95" i="14"/>
  <c r="I95" i="14"/>
  <c r="H95" i="14"/>
  <c r="G95" i="14"/>
  <c r="F95" i="14"/>
  <c r="E95" i="14"/>
  <c r="P94" i="14"/>
  <c r="O94" i="14"/>
  <c r="N94" i="14"/>
  <c r="M94" i="14"/>
  <c r="L94" i="14"/>
  <c r="K94" i="14"/>
  <c r="J94" i="14"/>
  <c r="I94" i="14"/>
  <c r="H94" i="14"/>
  <c r="G94" i="14"/>
  <c r="F94" i="14"/>
  <c r="E94" i="14"/>
  <c r="P93" i="14"/>
  <c r="O93" i="14"/>
  <c r="N93" i="14"/>
  <c r="M93" i="14"/>
  <c r="L93" i="14"/>
  <c r="K93" i="14"/>
  <c r="J93" i="14"/>
  <c r="I93" i="14"/>
  <c r="H93" i="14"/>
  <c r="G93" i="14"/>
  <c r="F93" i="14"/>
  <c r="E93" i="14"/>
  <c r="P92" i="14"/>
  <c r="O92" i="14"/>
  <c r="N92" i="14"/>
  <c r="M92" i="14"/>
  <c r="L92" i="14"/>
  <c r="K92" i="14"/>
  <c r="J92" i="14"/>
  <c r="I92" i="14"/>
  <c r="H92" i="14"/>
  <c r="G92" i="14"/>
  <c r="F92" i="14"/>
  <c r="E92" i="14"/>
  <c r="P91" i="14"/>
  <c r="O91" i="14"/>
  <c r="N91" i="14"/>
  <c r="M91" i="14"/>
  <c r="L91" i="14"/>
  <c r="K91" i="14"/>
  <c r="J91" i="14"/>
  <c r="I91" i="14"/>
  <c r="H91" i="14"/>
  <c r="G91" i="14"/>
  <c r="F91" i="14"/>
  <c r="E91" i="14"/>
  <c r="P90" i="14"/>
  <c r="O90" i="14"/>
  <c r="N90" i="14"/>
  <c r="M90" i="14"/>
  <c r="L90" i="14"/>
  <c r="K90" i="14"/>
  <c r="J90" i="14"/>
  <c r="I90" i="14"/>
  <c r="H90" i="14"/>
  <c r="G90" i="14"/>
  <c r="F90" i="14"/>
  <c r="E90" i="14"/>
  <c r="P89" i="14"/>
  <c r="O89" i="14"/>
  <c r="N89" i="14"/>
  <c r="M89" i="14"/>
  <c r="L89" i="14"/>
  <c r="K89" i="14"/>
  <c r="J89" i="14"/>
  <c r="I89" i="14"/>
  <c r="H89" i="14"/>
  <c r="G89" i="14"/>
  <c r="F89" i="14"/>
  <c r="E89" i="14"/>
  <c r="P88" i="14"/>
  <c r="O88" i="14"/>
  <c r="N88" i="14"/>
  <c r="M88" i="14"/>
  <c r="L88" i="14"/>
  <c r="K88" i="14"/>
  <c r="J88" i="14"/>
  <c r="I88" i="14"/>
  <c r="H88" i="14"/>
  <c r="G88" i="14"/>
  <c r="F88" i="14"/>
  <c r="E88" i="14"/>
  <c r="P86" i="14"/>
  <c r="O86" i="14"/>
  <c r="N86" i="14"/>
  <c r="M86" i="14"/>
  <c r="L86" i="14"/>
  <c r="K86" i="14"/>
  <c r="J86" i="14"/>
  <c r="I86" i="14"/>
  <c r="H86" i="14"/>
  <c r="G86" i="14"/>
  <c r="F86" i="14"/>
  <c r="E86" i="14"/>
  <c r="P85" i="14"/>
  <c r="O85" i="14"/>
  <c r="N85" i="14"/>
  <c r="M85" i="14"/>
  <c r="L85" i="14"/>
  <c r="K85" i="14"/>
  <c r="J85" i="14"/>
  <c r="I85" i="14"/>
  <c r="H85" i="14"/>
  <c r="G85" i="14"/>
  <c r="F85" i="14"/>
  <c r="E85" i="14"/>
  <c r="P84" i="14"/>
  <c r="O84" i="14"/>
  <c r="N84" i="14"/>
  <c r="M84" i="14"/>
  <c r="L84" i="14"/>
  <c r="K84" i="14"/>
  <c r="J84" i="14"/>
  <c r="I84" i="14"/>
  <c r="H84" i="14"/>
  <c r="G84" i="14"/>
  <c r="F84" i="14"/>
  <c r="E84" i="14"/>
  <c r="P83" i="14"/>
  <c r="O83" i="14"/>
  <c r="N83" i="14"/>
  <c r="M83" i="14"/>
  <c r="L83" i="14"/>
  <c r="K83" i="14"/>
  <c r="J83" i="14"/>
  <c r="I83" i="14"/>
  <c r="H83" i="14"/>
  <c r="G83" i="14"/>
  <c r="F83" i="14"/>
  <c r="E83" i="14"/>
  <c r="P82" i="14"/>
  <c r="O82" i="14"/>
  <c r="N82" i="14"/>
  <c r="M82" i="14"/>
  <c r="L82" i="14"/>
  <c r="K82" i="14"/>
  <c r="J82" i="14"/>
  <c r="I82" i="14"/>
  <c r="H82" i="14"/>
  <c r="G82" i="14"/>
  <c r="F82" i="14"/>
  <c r="E82" i="14"/>
  <c r="P81" i="14"/>
  <c r="O81" i="14"/>
  <c r="N81" i="14"/>
  <c r="M81" i="14"/>
  <c r="L81" i="14"/>
  <c r="K81" i="14"/>
  <c r="J81" i="14"/>
  <c r="I81" i="14"/>
  <c r="H81" i="14"/>
  <c r="G81" i="14"/>
  <c r="F81" i="14"/>
  <c r="E81" i="14"/>
  <c r="P80" i="14"/>
  <c r="O80" i="14"/>
  <c r="N80" i="14"/>
  <c r="M80" i="14"/>
  <c r="L80" i="14"/>
  <c r="K80" i="14"/>
  <c r="J80" i="14"/>
  <c r="I80" i="14"/>
  <c r="H80" i="14"/>
  <c r="G80" i="14"/>
  <c r="F80" i="14"/>
  <c r="E80" i="14"/>
  <c r="P79" i="14"/>
  <c r="O79" i="14"/>
  <c r="N79" i="14"/>
  <c r="M79" i="14"/>
  <c r="L79" i="14"/>
  <c r="K79" i="14"/>
  <c r="J79" i="14"/>
  <c r="I79" i="14"/>
  <c r="H79" i="14"/>
  <c r="G79" i="14"/>
  <c r="F79" i="14"/>
  <c r="E79" i="14"/>
  <c r="P78" i="14"/>
  <c r="O78" i="14"/>
  <c r="N78" i="14"/>
  <c r="M78" i="14"/>
  <c r="L78" i="14"/>
  <c r="K78" i="14"/>
  <c r="J78" i="14"/>
  <c r="I78" i="14"/>
  <c r="H78" i="14"/>
  <c r="G78" i="14"/>
  <c r="F78" i="14"/>
  <c r="E78" i="14"/>
  <c r="P77" i="14"/>
  <c r="O77" i="14"/>
  <c r="N77" i="14"/>
  <c r="M77" i="14"/>
  <c r="L77" i="14"/>
  <c r="K77" i="14"/>
  <c r="J77" i="14"/>
  <c r="I77" i="14"/>
  <c r="H77" i="14"/>
  <c r="G77" i="14"/>
  <c r="F77" i="14"/>
  <c r="E77" i="14"/>
  <c r="P76" i="14"/>
  <c r="O76" i="14"/>
  <c r="N76" i="14"/>
  <c r="M76" i="14"/>
  <c r="L76" i="14"/>
  <c r="K76" i="14"/>
  <c r="J76" i="14"/>
  <c r="I76" i="14"/>
  <c r="H76" i="14"/>
  <c r="G76" i="14"/>
  <c r="F76" i="14"/>
  <c r="E76" i="14"/>
  <c r="P75" i="14"/>
  <c r="O75" i="14"/>
  <c r="N75" i="14"/>
  <c r="M75" i="14"/>
  <c r="L75" i="14"/>
  <c r="K75" i="14"/>
  <c r="J75" i="14"/>
  <c r="I75" i="14"/>
  <c r="H75" i="14"/>
  <c r="G75" i="14"/>
  <c r="F75" i="14"/>
  <c r="E75" i="14"/>
  <c r="P74" i="14"/>
  <c r="O74" i="14"/>
  <c r="N74" i="14"/>
  <c r="M74" i="14"/>
  <c r="L74" i="14"/>
  <c r="K74" i="14"/>
  <c r="J74" i="14"/>
  <c r="I74" i="14"/>
  <c r="H74" i="14"/>
  <c r="G74" i="14"/>
  <c r="F74" i="14"/>
  <c r="E74" i="14"/>
  <c r="P73" i="14"/>
  <c r="O73" i="14"/>
  <c r="N73" i="14"/>
  <c r="M73" i="14"/>
  <c r="L73" i="14"/>
  <c r="K73" i="14"/>
  <c r="J73" i="14"/>
  <c r="I73" i="14"/>
  <c r="H73" i="14"/>
  <c r="G73" i="14"/>
  <c r="F73" i="14"/>
  <c r="E73" i="14"/>
  <c r="P71" i="14"/>
  <c r="O71" i="14"/>
  <c r="N71" i="14"/>
  <c r="M71" i="14"/>
  <c r="L71" i="14"/>
  <c r="K71" i="14"/>
  <c r="J71" i="14"/>
  <c r="I71" i="14"/>
  <c r="H71" i="14"/>
  <c r="G71" i="14"/>
  <c r="F71" i="14"/>
  <c r="E71" i="14"/>
  <c r="P70" i="14"/>
  <c r="O70" i="14"/>
  <c r="N70" i="14"/>
  <c r="M70" i="14"/>
  <c r="L70" i="14"/>
  <c r="K70" i="14"/>
  <c r="J70" i="14"/>
  <c r="I70" i="14"/>
  <c r="H70" i="14"/>
  <c r="G70" i="14"/>
  <c r="F70" i="14"/>
  <c r="E70" i="14"/>
  <c r="P69" i="14"/>
  <c r="O69" i="14"/>
  <c r="N69" i="14"/>
  <c r="M69" i="14"/>
  <c r="L69" i="14"/>
  <c r="K69" i="14"/>
  <c r="J69" i="14"/>
  <c r="I69" i="14"/>
  <c r="H69" i="14"/>
  <c r="G69" i="14"/>
  <c r="F69" i="14"/>
  <c r="E69" i="14"/>
  <c r="P68" i="14"/>
  <c r="O68" i="14"/>
  <c r="N68" i="14"/>
  <c r="M68" i="14"/>
  <c r="L68" i="14"/>
  <c r="K68" i="14"/>
  <c r="J68" i="14"/>
  <c r="I68" i="14"/>
  <c r="H68" i="14"/>
  <c r="G68" i="14"/>
  <c r="F68" i="14"/>
  <c r="E68" i="14"/>
  <c r="P67" i="14"/>
  <c r="O67" i="14"/>
  <c r="N67" i="14"/>
  <c r="M67" i="14"/>
  <c r="L67" i="14"/>
  <c r="K67" i="14"/>
  <c r="J67" i="14"/>
  <c r="I67" i="14"/>
  <c r="H67" i="14"/>
  <c r="G67" i="14"/>
  <c r="F67" i="14"/>
  <c r="E67" i="14"/>
  <c r="P66" i="14"/>
  <c r="O66" i="14"/>
  <c r="N66" i="14"/>
  <c r="M66" i="14"/>
  <c r="L66" i="14"/>
  <c r="K66" i="14"/>
  <c r="J66" i="14"/>
  <c r="I66" i="14"/>
  <c r="H66" i="14"/>
  <c r="G66" i="14"/>
  <c r="F66" i="14"/>
  <c r="E66" i="14"/>
  <c r="P65" i="14"/>
  <c r="O65" i="14"/>
  <c r="N65" i="14"/>
  <c r="M65" i="14"/>
  <c r="L65" i="14"/>
  <c r="K65" i="14"/>
  <c r="J65" i="14"/>
  <c r="I65" i="14"/>
  <c r="H65" i="14"/>
  <c r="G65" i="14"/>
  <c r="F65" i="14"/>
  <c r="E65" i="14"/>
  <c r="P64" i="14"/>
  <c r="O64" i="14"/>
  <c r="N64" i="14"/>
  <c r="M64" i="14"/>
  <c r="L64" i="14"/>
  <c r="K64" i="14"/>
  <c r="J64" i="14"/>
  <c r="I64" i="14"/>
  <c r="H64" i="14"/>
  <c r="G64" i="14"/>
  <c r="F64" i="14"/>
  <c r="E64" i="14"/>
  <c r="P63" i="14"/>
  <c r="O63" i="14"/>
  <c r="N63" i="14"/>
  <c r="M63" i="14"/>
  <c r="L63" i="14"/>
  <c r="K63" i="14"/>
  <c r="J63" i="14"/>
  <c r="I63" i="14"/>
  <c r="H63" i="14"/>
  <c r="G63" i="14"/>
  <c r="F63" i="14"/>
  <c r="E63" i="14"/>
  <c r="P62" i="14"/>
  <c r="O62" i="14"/>
  <c r="N62" i="14"/>
  <c r="M62" i="14"/>
  <c r="L62" i="14"/>
  <c r="K62" i="14"/>
  <c r="J62" i="14"/>
  <c r="I62" i="14"/>
  <c r="H62" i="14"/>
  <c r="G62" i="14"/>
  <c r="F62" i="14"/>
  <c r="E62" i="14"/>
  <c r="P61" i="14"/>
  <c r="O61" i="14"/>
  <c r="N61" i="14"/>
  <c r="M61" i="14"/>
  <c r="L61" i="14"/>
  <c r="K61" i="14"/>
  <c r="J61" i="14"/>
  <c r="I61" i="14"/>
  <c r="H61" i="14"/>
  <c r="G61" i="14"/>
  <c r="F61" i="14"/>
  <c r="E61" i="14"/>
  <c r="P60" i="14"/>
  <c r="O60" i="14"/>
  <c r="N60" i="14"/>
  <c r="M60" i="14"/>
  <c r="L60" i="14"/>
  <c r="K60" i="14"/>
  <c r="J60" i="14"/>
  <c r="I60" i="14"/>
  <c r="H60" i="14"/>
  <c r="G60" i="14"/>
  <c r="F60" i="14"/>
  <c r="E60" i="14"/>
  <c r="P59" i="14"/>
  <c r="O59" i="14"/>
  <c r="N59" i="14"/>
  <c r="M59" i="14"/>
  <c r="L59" i="14"/>
  <c r="K59" i="14"/>
  <c r="J59" i="14"/>
  <c r="I59" i="14"/>
  <c r="H59" i="14"/>
  <c r="G59" i="14"/>
  <c r="F59" i="14"/>
  <c r="E59" i="14"/>
  <c r="P58" i="14"/>
  <c r="O58" i="14"/>
  <c r="N58" i="14"/>
  <c r="M58" i="14"/>
  <c r="L58" i="14"/>
  <c r="K58" i="14"/>
  <c r="J58" i="14"/>
  <c r="I58" i="14"/>
  <c r="H58" i="14"/>
  <c r="G58" i="14"/>
  <c r="F58" i="14"/>
  <c r="E58" i="14"/>
  <c r="P56" i="14"/>
  <c r="O56" i="14"/>
  <c r="N56" i="14"/>
  <c r="M56" i="14"/>
  <c r="L56" i="14"/>
  <c r="K56" i="14"/>
  <c r="J56" i="14"/>
  <c r="I56" i="14"/>
  <c r="H56" i="14"/>
  <c r="G56" i="14"/>
  <c r="F56" i="14"/>
  <c r="E56" i="14"/>
  <c r="P55" i="14"/>
  <c r="O55" i="14"/>
  <c r="N55" i="14"/>
  <c r="M55" i="14"/>
  <c r="L55" i="14"/>
  <c r="K55" i="14"/>
  <c r="J55" i="14"/>
  <c r="I55" i="14"/>
  <c r="H55" i="14"/>
  <c r="G55" i="14"/>
  <c r="F55" i="14"/>
  <c r="E55" i="14"/>
  <c r="P54" i="14"/>
  <c r="O54" i="14"/>
  <c r="N54" i="14"/>
  <c r="M54" i="14"/>
  <c r="L54" i="14"/>
  <c r="K54" i="14"/>
  <c r="J54" i="14"/>
  <c r="I54" i="14"/>
  <c r="H54" i="14"/>
  <c r="G54" i="14"/>
  <c r="F54" i="14"/>
  <c r="E54" i="14"/>
  <c r="P53" i="14"/>
  <c r="O53" i="14"/>
  <c r="N53" i="14"/>
  <c r="M53" i="14"/>
  <c r="L53" i="14"/>
  <c r="K53" i="14"/>
  <c r="J53" i="14"/>
  <c r="I53" i="14"/>
  <c r="H53" i="14"/>
  <c r="G53" i="14"/>
  <c r="F53" i="14"/>
  <c r="E53" i="14"/>
  <c r="P52" i="14"/>
  <c r="O52" i="14"/>
  <c r="N52" i="14"/>
  <c r="M52" i="14"/>
  <c r="L52" i="14"/>
  <c r="K52" i="14"/>
  <c r="J52" i="14"/>
  <c r="I52" i="14"/>
  <c r="H52" i="14"/>
  <c r="G52" i="14"/>
  <c r="F52" i="14"/>
  <c r="E52" i="14"/>
  <c r="P51" i="14"/>
  <c r="O51" i="14"/>
  <c r="N51" i="14"/>
  <c r="M51" i="14"/>
  <c r="L51" i="14"/>
  <c r="K51" i="14"/>
  <c r="J51" i="14"/>
  <c r="I51" i="14"/>
  <c r="H51" i="14"/>
  <c r="G51" i="14"/>
  <c r="F51" i="14"/>
  <c r="E51" i="14"/>
  <c r="P50" i="14"/>
  <c r="O50" i="14"/>
  <c r="N50" i="14"/>
  <c r="M50" i="14"/>
  <c r="L50" i="14"/>
  <c r="K50" i="14"/>
  <c r="J50" i="14"/>
  <c r="I50" i="14"/>
  <c r="H50" i="14"/>
  <c r="G50" i="14"/>
  <c r="F50" i="14"/>
  <c r="E50" i="14"/>
  <c r="P49" i="14"/>
  <c r="O49" i="14"/>
  <c r="N49" i="14"/>
  <c r="M49" i="14"/>
  <c r="L49" i="14"/>
  <c r="K49" i="14"/>
  <c r="J49" i="14"/>
  <c r="I49" i="14"/>
  <c r="H49" i="14"/>
  <c r="G49" i="14"/>
  <c r="F49" i="14"/>
  <c r="E49" i="14"/>
  <c r="P48" i="14"/>
  <c r="O48" i="14"/>
  <c r="N48" i="14"/>
  <c r="M48" i="14"/>
  <c r="L48" i="14"/>
  <c r="K48" i="14"/>
  <c r="J48" i="14"/>
  <c r="I48" i="14"/>
  <c r="H48" i="14"/>
  <c r="G48" i="14"/>
  <c r="F48" i="14"/>
  <c r="E48" i="14"/>
  <c r="P47" i="14"/>
  <c r="O47" i="14"/>
  <c r="N47" i="14"/>
  <c r="M47" i="14"/>
  <c r="L47" i="14"/>
  <c r="K47" i="14"/>
  <c r="J47" i="14"/>
  <c r="I47" i="14"/>
  <c r="H47" i="14"/>
  <c r="G47" i="14"/>
  <c r="F47" i="14"/>
  <c r="E47" i="14"/>
  <c r="P46" i="14"/>
  <c r="O46" i="14"/>
  <c r="N46" i="14"/>
  <c r="M46" i="14"/>
  <c r="L46" i="14"/>
  <c r="K46" i="14"/>
  <c r="J46" i="14"/>
  <c r="I46" i="14"/>
  <c r="H46" i="14"/>
  <c r="G46" i="14"/>
  <c r="F46" i="14"/>
  <c r="E46" i="14"/>
  <c r="P45" i="14"/>
  <c r="O45" i="14"/>
  <c r="N45" i="14"/>
  <c r="M45" i="14"/>
  <c r="L45" i="14"/>
  <c r="K45" i="14"/>
  <c r="J45" i="14"/>
  <c r="I45" i="14"/>
  <c r="H45" i="14"/>
  <c r="G45" i="14"/>
  <c r="F45" i="14"/>
  <c r="E45" i="14"/>
  <c r="P44" i="14"/>
  <c r="O44" i="14"/>
  <c r="N44" i="14"/>
  <c r="M44" i="14"/>
  <c r="L44" i="14"/>
  <c r="K44" i="14"/>
  <c r="J44" i="14"/>
  <c r="I44" i="14"/>
  <c r="H44" i="14"/>
  <c r="G44" i="14"/>
  <c r="F44" i="14"/>
  <c r="E44" i="14"/>
  <c r="P43" i="14"/>
  <c r="O43" i="14"/>
  <c r="N43" i="14"/>
  <c r="M43" i="14"/>
  <c r="L43" i="14"/>
  <c r="K43" i="14"/>
  <c r="J43" i="14"/>
  <c r="I43" i="14"/>
  <c r="H43" i="14"/>
  <c r="G43" i="14"/>
  <c r="F43" i="14"/>
  <c r="E43" i="14"/>
  <c r="P41" i="14"/>
  <c r="O41" i="14"/>
  <c r="N41" i="14"/>
  <c r="M41" i="14"/>
  <c r="L41" i="14"/>
  <c r="K41" i="14"/>
  <c r="J41" i="14"/>
  <c r="I41" i="14"/>
  <c r="H41" i="14"/>
  <c r="G41" i="14"/>
  <c r="F41" i="14"/>
  <c r="E41" i="14"/>
  <c r="P40" i="14"/>
  <c r="O40" i="14"/>
  <c r="N40" i="14"/>
  <c r="M40" i="14"/>
  <c r="L40" i="14"/>
  <c r="K40" i="14"/>
  <c r="J40" i="14"/>
  <c r="I40" i="14"/>
  <c r="H40" i="14"/>
  <c r="G40" i="14"/>
  <c r="F40" i="14"/>
  <c r="E40" i="14"/>
  <c r="P39" i="14"/>
  <c r="O39" i="14"/>
  <c r="N39" i="14"/>
  <c r="M39" i="14"/>
  <c r="L39" i="14"/>
  <c r="K39" i="14"/>
  <c r="J39" i="14"/>
  <c r="I39" i="14"/>
  <c r="H39" i="14"/>
  <c r="G39" i="14"/>
  <c r="F39" i="14"/>
  <c r="E39" i="14"/>
  <c r="P38" i="14"/>
  <c r="O38" i="14"/>
  <c r="N38" i="14"/>
  <c r="M38" i="14"/>
  <c r="L38" i="14"/>
  <c r="K38" i="14"/>
  <c r="J38" i="14"/>
  <c r="I38" i="14"/>
  <c r="H38" i="14"/>
  <c r="G38" i="14"/>
  <c r="F38" i="14"/>
  <c r="E38" i="14"/>
  <c r="P37" i="14"/>
  <c r="O37" i="14"/>
  <c r="N37" i="14"/>
  <c r="M37" i="14"/>
  <c r="L37" i="14"/>
  <c r="K37" i="14"/>
  <c r="J37" i="14"/>
  <c r="I37" i="14"/>
  <c r="H37" i="14"/>
  <c r="G37" i="14"/>
  <c r="F37" i="14"/>
  <c r="E37" i="14"/>
  <c r="P36" i="14"/>
  <c r="O36" i="14"/>
  <c r="N36" i="14"/>
  <c r="M36" i="14"/>
  <c r="L36" i="14"/>
  <c r="K36" i="14"/>
  <c r="J36" i="14"/>
  <c r="I36" i="14"/>
  <c r="H36" i="14"/>
  <c r="G36" i="14"/>
  <c r="F36" i="14"/>
  <c r="E36" i="14"/>
  <c r="P35" i="14"/>
  <c r="O35" i="14"/>
  <c r="N35" i="14"/>
  <c r="M35" i="14"/>
  <c r="L35" i="14"/>
  <c r="K35" i="14"/>
  <c r="J35" i="14"/>
  <c r="I35" i="14"/>
  <c r="H35" i="14"/>
  <c r="G35" i="14"/>
  <c r="F35" i="14"/>
  <c r="E35" i="14"/>
  <c r="P34" i="14"/>
  <c r="O34" i="14"/>
  <c r="N34" i="14"/>
  <c r="M34" i="14"/>
  <c r="L34" i="14"/>
  <c r="K34" i="14"/>
  <c r="J34" i="14"/>
  <c r="I34" i="14"/>
  <c r="H34" i="14"/>
  <c r="G34" i="14"/>
  <c r="F34" i="14"/>
  <c r="E34" i="14"/>
  <c r="P33" i="14"/>
  <c r="O33" i="14"/>
  <c r="N33" i="14"/>
  <c r="M33" i="14"/>
  <c r="L33" i="14"/>
  <c r="K33" i="14"/>
  <c r="J33" i="14"/>
  <c r="I33" i="14"/>
  <c r="H33" i="14"/>
  <c r="G33" i="14"/>
  <c r="F33" i="14"/>
  <c r="E33" i="14"/>
  <c r="P32" i="14"/>
  <c r="O32" i="14"/>
  <c r="N32" i="14"/>
  <c r="M32" i="14"/>
  <c r="L32" i="14"/>
  <c r="K32" i="14"/>
  <c r="J32" i="14"/>
  <c r="I32" i="14"/>
  <c r="H32" i="14"/>
  <c r="G32" i="14"/>
  <c r="F32" i="14"/>
  <c r="E32" i="14"/>
  <c r="P31" i="14"/>
  <c r="O31" i="14"/>
  <c r="N31" i="14"/>
  <c r="M31" i="14"/>
  <c r="L31" i="14"/>
  <c r="K31" i="14"/>
  <c r="J31" i="14"/>
  <c r="I31" i="14"/>
  <c r="H31" i="14"/>
  <c r="G31" i="14"/>
  <c r="F31" i="14"/>
  <c r="E31" i="14"/>
  <c r="P30" i="14"/>
  <c r="O30" i="14"/>
  <c r="N30" i="14"/>
  <c r="M30" i="14"/>
  <c r="L30" i="14"/>
  <c r="K30" i="14"/>
  <c r="J30" i="14"/>
  <c r="I30" i="14"/>
  <c r="H30" i="14"/>
  <c r="G30" i="14"/>
  <c r="F30" i="14"/>
  <c r="E30" i="14"/>
  <c r="P29" i="14"/>
  <c r="O29" i="14"/>
  <c r="N29" i="14"/>
  <c r="M29" i="14"/>
  <c r="L29" i="14"/>
  <c r="K29" i="14"/>
  <c r="J29" i="14"/>
  <c r="I29" i="14"/>
  <c r="H29" i="14"/>
  <c r="G29" i="14"/>
  <c r="F29" i="14"/>
  <c r="E29" i="14"/>
  <c r="P28" i="14"/>
  <c r="O28" i="14"/>
  <c r="N28" i="14"/>
  <c r="M28" i="14"/>
  <c r="L28" i="14"/>
  <c r="K28" i="14"/>
  <c r="J28" i="14"/>
  <c r="I28" i="14"/>
  <c r="H28" i="14"/>
  <c r="G28" i="14"/>
  <c r="F28" i="14"/>
  <c r="E28" i="14"/>
  <c r="P26" i="14"/>
  <c r="O26" i="14"/>
  <c r="N26" i="14"/>
  <c r="M26" i="14"/>
  <c r="L26" i="14"/>
  <c r="K26" i="14"/>
  <c r="J26" i="14"/>
  <c r="I26" i="14"/>
  <c r="H26" i="14"/>
  <c r="G26" i="14"/>
  <c r="F26" i="14"/>
  <c r="E26" i="14"/>
  <c r="P25" i="14"/>
  <c r="O25" i="14"/>
  <c r="N25" i="14"/>
  <c r="M25" i="14"/>
  <c r="L25" i="14"/>
  <c r="K25" i="14"/>
  <c r="J25" i="14"/>
  <c r="I25" i="14"/>
  <c r="H25" i="14"/>
  <c r="G25" i="14"/>
  <c r="F25" i="14"/>
  <c r="E25" i="14"/>
  <c r="P24" i="14"/>
  <c r="O24" i="14"/>
  <c r="N24" i="14"/>
  <c r="M24" i="14"/>
  <c r="L24" i="14"/>
  <c r="K24" i="14"/>
  <c r="J24" i="14"/>
  <c r="I24" i="14"/>
  <c r="H24" i="14"/>
  <c r="G24" i="14"/>
  <c r="F24" i="14"/>
  <c r="E24" i="14"/>
  <c r="P23" i="14"/>
  <c r="O23" i="14"/>
  <c r="N23" i="14"/>
  <c r="M23" i="14"/>
  <c r="L23" i="14"/>
  <c r="K23" i="14"/>
  <c r="J23" i="14"/>
  <c r="I23" i="14"/>
  <c r="H23" i="14"/>
  <c r="G23" i="14"/>
  <c r="F23" i="14"/>
  <c r="E23" i="14"/>
  <c r="P22" i="14"/>
  <c r="O22" i="14"/>
  <c r="N22" i="14"/>
  <c r="M22" i="14"/>
  <c r="L22" i="14"/>
  <c r="K22" i="14"/>
  <c r="J22" i="14"/>
  <c r="I22" i="14"/>
  <c r="H22" i="14"/>
  <c r="G22" i="14"/>
  <c r="F22" i="14"/>
  <c r="E22" i="14"/>
  <c r="P21" i="14"/>
  <c r="O21" i="14"/>
  <c r="N21" i="14"/>
  <c r="M21" i="14"/>
  <c r="L21" i="14"/>
  <c r="K21" i="14"/>
  <c r="J21" i="14"/>
  <c r="I21" i="14"/>
  <c r="H21" i="14"/>
  <c r="G21" i="14"/>
  <c r="F21" i="14"/>
  <c r="E21" i="14"/>
  <c r="P20" i="14"/>
  <c r="O20" i="14"/>
  <c r="N20" i="14"/>
  <c r="M20" i="14"/>
  <c r="L20" i="14"/>
  <c r="K20" i="14"/>
  <c r="J20" i="14"/>
  <c r="I20" i="14"/>
  <c r="H20" i="14"/>
  <c r="G20" i="14"/>
  <c r="F20" i="14"/>
  <c r="E20" i="14"/>
  <c r="P19" i="14"/>
  <c r="O19" i="14"/>
  <c r="N19" i="14"/>
  <c r="M19" i="14"/>
  <c r="L19" i="14"/>
  <c r="K19" i="14"/>
  <c r="J19" i="14"/>
  <c r="I19" i="14"/>
  <c r="H19" i="14"/>
  <c r="G19" i="14"/>
  <c r="F19" i="14"/>
  <c r="E19" i="14"/>
  <c r="P18" i="14"/>
  <c r="O18" i="14"/>
  <c r="N18" i="14"/>
  <c r="M18" i="14"/>
  <c r="L18" i="14"/>
  <c r="K18" i="14"/>
  <c r="J18" i="14"/>
  <c r="I18" i="14"/>
  <c r="H18" i="14"/>
  <c r="G18" i="14"/>
  <c r="F18" i="14"/>
  <c r="E18" i="14"/>
  <c r="P17" i="14"/>
  <c r="O17" i="14"/>
  <c r="N17" i="14"/>
  <c r="M17" i="14"/>
  <c r="L17" i="14"/>
  <c r="K17" i="14"/>
  <c r="J17" i="14"/>
  <c r="I17" i="14"/>
  <c r="H17" i="14"/>
  <c r="G17" i="14"/>
  <c r="F17" i="14"/>
  <c r="E17" i="14"/>
  <c r="P16" i="14"/>
  <c r="O16" i="14"/>
  <c r="N16" i="14"/>
  <c r="M16" i="14"/>
  <c r="L16" i="14"/>
  <c r="K16" i="14"/>
  <c r="J16" i="14"/>
  <c r="I16" i="14"/>
  <c r="H16" i="14"/>
  <c r="G16" i="14"/>
  <c r="F16" i="14"/>
  <c r="E16" i="14"/>
  <c r="P15" i="14"/>
  <c r="O15" i="14"/>
  <c r="N15" i="14"/>
  <c r="M15" i="14"/>
  <c r="L15" i="14"/>
  <c r="K15" i="14"/>
  <c r="J15" i="14"/>
  <c r="I15" i="14"/>
  <c r="H15" i="14"/>
  <c r="G15" i="14"/>
  <c r="F15" i="14"/>
  <c r="E15" i="14"/>
  <c r="P14" i="14"/>
  <c r="O14" i="14"/>
  <c r="N14" i="14"/>
  <c r="M14" i="14"/>
  <c r="L14" i="14"/>
  <c r="K14" i="14"/>
  <c r="J14" i="14"/>
  <c r="I14" i="14"/>
  <c r="H14" i="14"/>
  <c r="G14" i="14"/>
  <c r="F14" i="14"/>
  <c r="E14" i="14"/>
  <c r="P13" i="14"/>
  <c r="O13" i="14"/>
  <c r="N13" i="14"/>
  <c r="M13" i="14"/>
  <c r="L13" i="14"/>
  <c r="K13" i="14"/>
  <c r="J13" i="14"/>
  <c r="I13" i="14"/>
  <c r="H13" i="14"/>
  <c r="G13" i="14"/>
  <c r="F13" i="14"/>
  <c r="E13" i="14"/>
  <c r="A12" i="14"/>
  <c r="P10" i="14"/>
  <c r="O10" i="14"/>
  <c r="N10" i="14"/>
  <c r="M10" i="14"/>
  <c r="L10" i="14"/>
  <c r="K10" i="14"/>
  <c r="J10" i="14"/>
  <c r="I10" i="14"/>
  <c r="H10" i="14"/>
  <c r="G10" i="14"/>
  <c r="F10" i="14"/>
  <c r="P8" i="14"/>
  <c r="O8" i="14"/>
  <c r="N8" i="14"/>
  <c r="M8" i="14"/>
  <c r="L8" i="14"/>
  <c r="K8" i="14"/>
  <c r="J8" i="14"/>
  <c r="I8" i="14"/>
  <c r="H8" i="14"/>
  <c r="G8" i="14"/>
  <c r="F8" i="14"/>
  <c r="E8" i="14"/>
  <c r="A8" i="14"/>
  <c r="P7" i="14"/>
  <c r="O7" i="14"/>
  <c r="N7" i="14"/>
  <c r="M7" i="14"/>
  <c r="L7" i="14"/>
  <c r="K7" i="14"/>
  <c r="J7" i="14"/>
  <c r="I7" i="14"/>
  <c r="H7" i="14"/>
  <c r="G7" i="14"/>
  <c r="F7" i="14"/>
  <c r="E7" i="14"/>
  <c r="A7" i="14"/>
  <c r="P5" i="14"/>
  <c r="O5" i="14"/>
  <c r="N5" i="14"/>
  <c r="M5" i="14"/>
  <c r="L5" i="14"/>
  <c r="K5" i="14"/>
  <c r="J5" i="14"/>
  <c r="I5" i="14"/>
  <c r="H5" i="14"/>
  <c r="G5" i="14"/>
  <c r="F5" i="14"/>
  <c r="E5" i="14"/>
  <c r="A629" i="26"/>
  <c r="A628" i="26"/>
  <c r="A627" i="26"/>
  <c r="P613" i="26"/>
  <c r="O613" i="26"/>
  <c r="N613" i="26"/>
  <c r="M613" i="26"/>
  <c r="L613" i="26"/>
  <c r="K613" i="26"/>
  <c r="J613" i="26"/>
  <c r="I613" i="26"/>
  <c r="H613" i="26"/>
  <c r="G613" i="26"/>
  <c r="F613" i="26"/>
  <c r="E613" i="26"/>
  <c r="B613" i="26"/>
  <c r="P607" i="26"/>
  <c r="O607" i="26"/>
  <c r="N607" i="26"/>
  <c r="M607" i="26"/>
  <c r="L607" i="26"/>
  <c r="K607" i="26"/>
  <c r="J607" i="26"/>
  <c r="I607" i="26"/>
  <c r="H607" i="26"/>
  <c r="G607" i="26"/>
  <c r="F607" i="26"/>
  <c r="E607" i="26"/>
  <c r="P606" i="26"/>
  <c r="O606" i="26"/>
  <c r="N606" i="26"/>
  <c r="M606" i="26"/>
  <c r="L606" i="26"/>
  <c r="K606" i="26"/>
  <c r="J606" i="26"/>
  <c r="I606" i="26"/>
  <c r="H606" i="26"/>
  <c r="G606" i="26"/>
  <c r="F606" i="26"/>
  <c r="E606" i="26"/>
  <c r="P605" i="26"/>
  <c r="O605" i="26"/>
  <c r="N605" i="26"/>
  <c r="M605" i="26"/>
  <c r="L605" i="26"/>
  <c r="K605" i="26"/>
  <c r="J605" i="26"/>
  <c r="I605" i="26"/>
  <c r="H605" i="26"/>
  <c r="G605" i="26"/>
  <c r="F605" i="26"/>
  <c r="E605" i="26"/>
  <c r="P604" i="26"/>
  <c r="O604" i="26"/>
  <c r="N604" i="26"/>
  <c r="M604" i="26"/>
  <c r="L604" i="26"/>
  <c r="K604" i="26"/>
  <c r="J604" i="26"/>
  <c r="I604" i="26"/>
  <c r="H604" i="26"/>
  <c r="G604" i="26"/>
  <c r="F604" i="26"/>
  <c r="E604" i="26"/>
  <c r="P603" i="26"/>
  <c r="O603" i="26"/>
  <c r="N603" i="26"/>
  <c r="M603" i="26"/>
  <c r="L603" i="26"/>
  <c r="K603" i="26"/>
  <c r="J603" i="26"/>
  <c r="I603" i="26"/>
  <c r="H603" i="26"/>
  <c r="G603" i="26"/>
  <c r="F603" i="26"/>
  <c r="E603" i="26"/>
  <c r="P602" i="26"/>
  <c r="O602" i="26"/>
  <c r="N602" i="26"/>
  <c r="M602" i="26"/>
  <c r="L602" i="26"/>
  <c r="K602" i="26"/>
  <c r="J602" i="26"/>
  <c r="I602" i="26"/>
  <c r="H602" i="26"/>
  <c r="G602" i="26"/>
  <c r="F602" i="26"/>
  <c r="E602" i="26"/>
  <c r="P599" i="26"/>
  <c r="O599" i="26"/>
  <c r="N599" i="26"/>
  <c r="M599" i="26"/>
  <c r="L599" i="26"/>
  <c r="K599" i="26"/>
  <c r="J599" i="26"/>
  <c r="I599" i="26"/>
  <c r="H599" i="26"/>
  <c r="G599" i="26"/>
  <c r="F599" i="26"/>
  <c r="E599" i="26"/>
  <c r="P598" i="26"/>
  <c r="O598" i="26"/>
  <c r="N598" i="26"/>
  <c r="M598" i="26"/>
  <c r="L598" i="26"/>
  <c r="K598" i="26"/>
  <c r="J598" i="26"/>
  <c r="I598" i="26"/>
  <c r="H598" i="26"/>
  <c r="G598" i="26"/>
  <c r="F598" i="26"/>
  <c r="E598" i="26"/>
  <c r="P597" i="26"/>
  <c r="O597" i="26"/>
  <c r="N597" i="26"/>
  <c r="M597" i="26"/>
  <c r="L597" i="26"/>
  <c r="K597" i="26"/>
  <c r="J597" i="26"/>
  <c r="I597" i="26"/>
  <c r="H597" i="26"/>
  <c r="G597" i="26"/>
  <c r="F597" i="26"/>
  <c r="E597" i="26"/>
  <c r="P596" i="26"/>
  <c r="O596" i="26"/>
  <c r="N596" i="26"/>
  <c r="M596" i="26"/>
  <c r="L596" i="26"/>
  <c r="K596" i="26"/>
  <c r="J596" i="26"/>
  <c r="I596" i="26"/>
  <c r="H596" i="26"/>
  <c r="G596" i="26"/>
  <c r="F596" i="26"/>
  <c r="E596" i="26"/>
  <c r="A593" i="26"/>
  <c r="P592" i="26"/>
  <c r="O592" i="26"/>
  <c r="N592" i="26"/>
  <c r="M592" i="26"/>
  <c r="L592" i="26"/>
  <c r="K592" i="26"/>
  <c r="J592" i="26"/>
  <c r="I592" i="26"/>
  <c r="H592" i="26"/>
  <c r="G592" i="26"/>
  <c r="F592" i="26"/>
  <c r="E592" i="26"/>
  <c r="A592" i="26"/>
  <c r="P586" i="26"/>
  <c r="O586" i="26"/>
  <c r="N586" i="26"/>
  <c r="M586" i="26"/>
  <c r="L586" i="26"/>
  <c r="K586" i="26"/>
  <c r="J586" i="26"/>
  <c r="I586" i="26"/>
  <c r="H586" i="26"/>
  <c r="G586" i="26"/>
  <c r="F586" i="26"/>
  <c r="E586" i="26"/>
  <c r="P585" i="26"/>
  <c r="O585" i="26"/>
  <c r="N585" i="26"/>
  <c r="M585" i="26"/>
  <c r="L585" i="26"/>
  <c r="K585" i="26"/>
  <c r="J585" i="26"/>
  <c r="I585" i="26"/>
  <c r="H585" i="26"/>
  <c r="G585" i="26"/>
  <c r="F585" i="26"/>
  <c r="E585" i="26"/>
  <c r="P584" i="26"/>
  <c r="O584" i="26"/>
  <c r="N584" i="26"/>
  <c r="M584" i="26"/>
  <c r="L584" i="26"/>
  <c r="K584" i="26"/>
  <c r="J584" i="26"/>
  <c r="I584" i="26"/>
  <c r="H584" i="26"/>
  <c r="G584" i="26"/>
  <c r="F584" i="26"/>
  <c r="E584" i="26"/>
  <c r="P583" i="26"/>
  <c r="O583" i="26"/>
  <c r="N583" i="26"/>
  <c r="M583" i="26"/>
  <c r="L583" i="26"/>
  <c r="K583" i="26"/>
  <c r="J583" i="26"/>
  <c r="I583" i="26"/>
  <c r="H583" i="26"/>
  <c r="G583" i="26"/>
  <c r="F583" i="26"/>
  <c r="E583" i="26"/>
  <c r="P581" i="26"/>
  <c r="O581" i="26"/>
  <c r="N581" i="26"/>
  <c r="M581" i="26"/>
  <c r="L581" i="26"/>
  <c r="K581" i="26"/>
  <c r="J581" i="26"/>
  <c r="I581" i="26"/>
  <c r="H581" i="26"/>
  <c r="G581" i="26"/>
  <c r="F581" i="26"/>
  <c r="E581" i="26"/>
  <c r="P577" i="26"/>
  <c r="O577" i="26"/>
  <c r="N577" i="26"/>
  <c r="M577" i="26"/>
  <c r="L577" i="26"/>
  <c r="K577" i="26"/>
  <c r="J577" i="26"/>
  <c r="I577" i="26"/>
  <c r="H577" i="26"/>
  <c r="G577" i="26"/>
  <c r="F577" i="26"/>
  <c r="E577" i="26"/>
  <c r="A577" i="26"/>
  <c r="P576" i="26"/>
  <c r="O576" i="26"/>
  <c r="N576" i="26"/>
  <c r="M576" i="26"/>
  <c r="L576" i="26"/>
  <c r="K576" i="26"/>
  <c r="J576" i="26"/>
  <c r="I576" i="26"/>
  <c r="H576" i="26"/>
  <c r="G576" i="26"/>
  <c r="F576" i="26"/>
  <c r="E576" i="26"/>
  <c r="A576" i="26"/>
  <c r="P575" i="26"/>
  <c r="O575" i="26"/>
  <c r="N575" i="26"/>
  <c r="M575" i="26"/>
  <c r="L575" i="26"/>
  <c r="K575" i="26"/>
  <c r="J575" i="26"/>
  <c r="I575" i="26"/>
  <c r="H575" i="26"/>
  <c r="G575" i="26"/>
  <c r="F575" i="26"/>
  <c r="E575" i="26"/>
  <c r="A575" i="26"/>
  <c r="P574" i="26"/>
  <c r="O574" i="26"/>
  <c r="N574" i="26"/>
  <c r="M574" i="26"/>
  <c r="L574" i="26"/>
  <c r="K574" i="26"/>
  <c r="J574" i="26"/>
  <c r="I574" i="26"/>
  <c r="H574" i="26"/>
  <c r="G574" i="26"/>
  <c r="F574" i="26"/>
  <c r="E574" i="26"/>
  <c r="A574" i="26"/>
  <c r="A573" i="26"/>
  <c r="A572" i="26"/>
  <c r="A571" i="26"/>
  <c r="P568" i="26"/>
  <c r="O568" i="26"/>
  <c r="N568" i="26"/>
  <c r="M568" i="26"/>
  <c r="L568" i="26"/>
  <c r="K568" i="26"/>
  <c r="J568" i="26"/>
  <c r="I568" i="26"/>
  <c r="H568" i="26"/>
  <c r="G568" i="26"/>
  <c r="F568" i="26"/>
  <c r="E568" i="26"/>
  <c r="P567" i="26"/>
  <c r="O567" i="26"/>
  <c r="N567" i="26"/>
  <c r="M567" i="26"/>
  <c r="L567" i="26"/>
  <c r="K567" i="26"/>
  <c r="J567" i="26"/>
  <c r="I567" i="26"/>
  <c r="H567" i="26"/>
  <c r="G567" i="26"/>
  <c r="F567" i="26"/>
  <c r="E567" i="26"/>
  <c r="P566" i="26"/>
  <c r="O566" i="26"/>
  <c r="N566" i="26"/>
  <c r="M566" i="26"/>
  <c r="L566" i="26"/>
  <c r="K566" i="26"/>
  <c r="J566" i="26"/>
  <c r="I566" i="26"/>
  <c r="H566" i="26"/>
  <c r="G566" i="26"/>
  <c r="F566" i="26"/>
  <c r="E566" i="26"/>
  <c r="P561" i="26"/>
  <c r="O561" i="26"/>
  <c r="N561" i="26"/>
  <c r="M561" i="26"/>
  <c r="L561" i="26"/>
  <c r="K561" i="26"/>
  <c r="J561" i="26"/>
  <c r="I561" i="26"/>
  <c r="H561" i="26"/>
  <c r="G561" i="26"/>
  <c r="F561" i="26"/>
  <c r="E561" i="26"/>
  <c r="A561" i="26"/>
  <c r="B559" i="26"/>
  <c r="A556" i="26"/>
  <c r="A555" i="26"/>
  <c r="A554" i="26"/>
  <c r="P540" i="26"/>
  <c r="O540" i="26"/>
  <c r="N540" i="26"/>
  <c r="M540" i="26"/>
  <c r="L540" i="26"/>
  <c r="K540" i="26"/>
  <c r="J540" i="26"/>
  <c r="I540" i="26"/>
  <c r="H540" i="26"/>
  <c r="G540" i="26"/>
  <c r="F540" i="26"/>
  <c r="E540" i="26"/>
  <c r="B540" i="26"/>
  <c r="P534" i="26"/>
  <c r="O534" i="26"/>
  <c r="N534" i="26"/>
  <c r="M534" i="26"/>
  <c r="L534" i="26"/>
  <c r="K534" i="26"/>
  <c r="J534" i="26"/>
  <c r="I534" i="26"/>
  <c r="H534" i="26"/>
  <c r="G534" i="26"/>
  <c r="F534" i="26"/>
  <c r="E534" i="26"/>
  <c r="P533" i="26"/>
  <c r="O533" i="26"/>
  <c r="N533" i="26"/>
  <c r="M533" i="26"/>
  <c r="L533" i="26"/>
  <c r="K533" i="26"/>
  <c r="J533" i="26"/>
  <c r="I533" i="26"/>
  <c r="H533" i="26"/>
  <c r="G533" i="26"/>
  <c r="F533" i="26"/>
  <c r="E533" i="26"/>
  <c r="P532" i="26"/>
  <c r="O532" i="26"/>
  <c r="N532" i="26"/>
  <c r="M532" i="26"/>
  <c r="L532" i="26"/>
  <c r="K532" i="26"/>
  <c r="J532" i="26"/>
  <c r="I532" i="26"/>
  <c r="H532" i="26"/>
  <c r="G532" i="26"/>
  <c r="F532" i="26"/>
  <c r="E532" i="26"/>
  <c r="P531" i="26"/>
  <c r="O531" i="26"/>
  <c r="N531" i="26"/>
  <c r="M531" i="26"/>
  <c r="L531" i="26"/>
  <c r="K531" i="26"/>
  <c r="J531" i="26"/>
  <c r="I531" i="26"/>
  <c r="H531" i="26"/>
  <c r="G531" i="26"/>
  <c r="F531" i="26"/>
  <c r="E531" i="26"/>
  <c r="P530" i="26"/>
  <c r="O530" i="26"/>
  <c r="N530" i="26"/>
  <c r="M530" i="26"/>
  <c r="L530" i="26"/>
  <c r="K530" i="26"/>
  <c r="J530" i="26"/>
  <c r="I530" i="26"/>
  <c r="H530" i="26"/>
  <c r="G530" i="26"/>
  <c r="F530" i="26"/>
  <c r="E530" i="26"/>
  <c r="P529" i="26"/>
  <c r="O529" i="26"/>
  <c r="N529" i="26"/>
  <c r="M529" i="26"/>
  <c r="L529" i="26"/>
  <c r="K529" i="26"/>
  <c r="J529" i="26"/>
  <c r="I529" i="26"/>
  <c r="H529" i="26"/>
  <c r="G529" i="26"/>
  <c r="F529" i="26"/>
  <c r="E529" i="26"/>
  <c r="P526" i="26"/>
  <c r="O526" i="26"/>
  <c r="N526" i="26"/>
  <c r="M526" i="26"/>
  <c r="L526" i="26"/>
  <c r="K526" i="26"/>
  <c r="J526" i="26"/>
  <c r="I526" i="26"/>
  <c r="H526" i="26"/>
  <c r="G526" i="26"/>
  <c r="F526" i="26"/>
  <c r="E526" i="26"/>
  <c r="P525" i="26"/>
  <c r="O525" i="26"/>
  <c r="N525" i="26"/>
  <c r="M525" i="26"/>
  <c r="L525" i="26"/>
  <c r="K525" i="26"/>
  <c r="J525" i="26"/>
  <c r="I525" i="26"/>
  <c r="H525" i="26"/>
  <c r="G525" i="26"/>
  <c r="F525" i="26"/>
  <c r="E525" i="26"/>
  <c r="P524" i="26"/>
  <c r="O524" i="26"/>
  <c r="N524" i="26"/>
  <c r="M524" i="26"/>
  <c r="L524" i="26"/>
  <c r="K524" i="26"/>
  <c r="J524" i="26"/>
  <c r="I524" i="26"/>
  <c r="H524" i="26"/>
  <c r="G524" i="26"/>
  <c r="F524" i="26"/>
  <c r="E524" i="26"/>
  <c r="P523" i="26"/>
  <c r="O523" i="26"/>
  <c r="N523" i="26"/>
  <c r="M523" i="26"/>
  <c r="L523" i="26"/>
  <c r="K523" i="26"/>
  <c r="J523" i="26"/>
  <c r="I523" i="26"/>
  <c r="H523" i="26"/>
  <c r="G523" i="26"/>
  <c r="F523" i="26"/>
  <c r="E523" i="26"/>
  <c r="P519" i="26"/>
  <c r="O519" i="26"/>
  <c r="N519" i="26"/>
  <c r="M519" i="26"/>
  <c r="L519" i="26"/>
  <c r="K519" i="26"/>
  <c r="J519" i="26"/>
  <c r="I519" i="26"/>
  <c r="H519" i="26"/>
  <c r="G519" i="26"/>
  <c r="F519" i="26"/>
  <c r="E519" i="26"/>
  <c r="P513" i="26"/>
  <c r="O513" i="26"/>
  <c r="N513" i="26"/>
  <c r="M513" i="26"/>
  <c r="L513" i="26"/>
  <c r="K513" i="26"/>
  <c r="J513" i="26"/>
  <c r="I513" i="26"/>
  <c r="H513" i="26"/>
  <c r="G513" i="26"/>
  <c r="F513" i="26"/>
  <c r="P512" i="26"/>
  <c r="O512" i="26"/>
  <c r="N512" i="26"/>
  <c r="M512" i="26"/>
  <c r="L512" i="26"/>
  <c r="K512" i="26"/>
  <c r="J512" i="26"/>
  <c r="I512" i="26"/>
  <c r="H512" i="26"/>
  <c r="G512" i="26"/>
  <c r="F512" i="26"/>
  <c r="E512" i="26"/>
  <c r="P511" i="26"/>
  <c r="O511" i="26"/>
  <c r="N511" i="26"/>
  <c r="M511" i="26"/>
  <c r="L511" i="26"/>
  <c r="K511" i="26"/>
  <c r="J511" i="26"/>
  <c r="I511" i="26"/>
  <c r="H511" i="26"/>
  <c r="G511" i="26"/>
  <c r="F511" i="26"/>
  <c r="E511" i="26"/>
  <c r="P510" i="26"/>
  <c r="O510" i="26"/>
  <c r="N510" i="26"/>
  <c r="M510" i="26"/>
  <c r="L510" i="26"/>
  <c r="K510" i="26"/>
  <c r="J510" i="26"/>
  <c r="I510" i="26"/>
  <c r="H510" i="26"/>
  <c r="G510" i="26"/>
  <c r="F510" i="26"/>
  <c r="E510" i="26"/>
  <c r="P508" i="26"/>
  <c r="O508" i="26"/>
  <c r="N508" i="26"/>
  <c r="M508" i="26"/>
  <c r="L508" i="26"/>
  <c r="K508" i="26"/>
  <c r="J508" i="26"/>
  <c r="I508" i="26"/>
  <c r="H508" i="26"/>
  <c r="G508" i="26"/>
  <c r="F508" i="26"/>
  <c r="E508" i="26"/>
  <c r="A508" i="26"/>
  <c r="P504" i="26"/>
  <c r="O504" i="26"/>
  <c r="N504" i="26"/>
  <c r="M504" i="26"/>
  <c r="L504" i="26"/>
  <c r="K504" i="26"/>
  <c r="J504" i="26"/>
  <c r="I504" i="26"/>
  <c r="H504" i="26"/>
  <c r="G504" i="26"/>
  <c r="F504" i="26"/>
  <c r="E504" i="26"/>
  <c r="A504" i="26"/>
  <c r="P503" i="26"/>
  <c r="O503" i="26"/>
  <c r="N503" i="26"/>
  <c r="M503" i="26"/>
  <c r="L503" i="26"/>
  <c r="K503" i="26"/>
  <c r="J503" i="26"/>
  <c r="I503" i="26"/>
  <c r="H503" i="26"/>
  <c r="G503" i="26"/>
  <c r="F503" i="26"/>
  <c r="E503" i="26"/>
  <c r="A503" i="26"/>
  <c r="P502" i="26"/>
  <c r="O502" i="26"/>
  <c r="N502" i="26"/>
  <c r="M502" i="26"/>
  <c r="L502" i="26"/>
  <c r="K502" i="26"/>
  <c r="J502" i="26"/>
  <c r="I502" i="26"/>
  <c r="H502" i="26"/>
  <c r="G502" i="26"/>
  <c r="F502" i="26"/>
  <c r="E502" i="26"/>
  <c r="A502" i="26"/>
  <c r="P501" i="26"/>
  <c r="O501" i="26"/>
  <c r="N501" i="26"/>
  <c r="M501" i="26"/>
  <c r="L501" i="26"/>
  <c r="K501" i="26"/>
  <c r="J501" i="26"/>
  <c r="I501" i="26"/>
  <c r="H501" i="26"/>
  <c r="G501" i="26"/>
  <c r="F501" i="26"/>
  <c r="E501" i="26"/>
  <c r="A501" i="26"/>
  <c r="A500" i="26"/>
  <c r="A499" i="26"/>
  <c r="A498" i="26"/>
  <c r="P495" i="26"/>
  <c r="O495" i="26"/>
  <c r="N495" i="26"/>
  <c r="M495" i="26"/>
  <c r="L495" i="26"/>
  <c r="K495" i="26"/>
  <c r="J495" i="26"/>
  <c r="I495" i="26"/>
  <c r="H495" i="26"/>
  <c r="G495" i="26"/>
  <c r="F495" i="26"/>
  <c r="P494" i="26"/>
  <c r="O494" i="26"/>
  <c r="N494" i="26"/>
  <c r="M494" i="26"/>
  <c r="L494" i="26"/>
  <c r="K494" i="26"/>
  <c r="J494" i="26"/>
  <c r="I494" i="26"/>
  <c r="H494" i="26"/>
  <c r="G494" i="26"/>
  <c r="F494" i="26"/>
  <c r="P493" i="26"/>
  <c r="O493" i="26"/>
  <c r="N493" i="26"/>
  <c r="M493" i="26"/>
  <c r="L493" i="26"/>
  <c r="K493" i="26"/>
  <c r="J493" i="26"/>
  <c r="I493" i="26"/>
  <c r="H493" i="26"/>
  <c r="G493" i="26"/>
  <c r="F493" i="26"/>
  <c r="P488" i="26"/>
  <c r="O488" i="26"/>
  <c r="N488" i="26"/>
  <c r="M488" i="26"/>
  <c r="L488" i="26"/>
  <c r="K488" i="26"/>
  <c r="J488" i="26"/>
  <c r="I488" i="26"/>
  <c r="H488" i="26"/>
  <c r="G488" i="26"/>
  <c r="F488" i="26"/>
  <c r="E488" i="26"/>
  <c r="A488" i="26"/>
  <c r="B486" i="26"/>
  <c r="P483" i="26"/>
  <c r="O483" i="26"/>
  <c r="N483" i="26"/>
  <c r="M483" i="26"/>
  <c r="L483" i="26"/>
  <c r="K483" i="26"/>
  <c r="J483" i="26"/>
  <c r="I483" i="26"/>
  <c r="H483" i="26"/>
  <c r="G483" i="26"/>
  <c r="F483" i="26"/>
  <c r="E483" i="26"/>
  <c r="P482" i="26"/>
  <c r="O482" i="26"/>
  <c r="N482" i="26"/>
  <c r="M482" i="26"/>
  <c r="L482" i="26"/>
  <c r="K482" i="26"/>
  <c r="J482" i="26"/>
  <c r="I482" i="26"/>
  <c r="H482" i="26"/>
  <c r="G482" i="26"/>
  <c r="F482" i="26"/>
  <c r="E482" i="26"/>
  <c r="P481" i="26"/>
  <c r="O481" i="26"/>
  <c r="N481" i="26"/>
  <c r="M481" i="26"/>
  <c r="L481" i="26"/>
  <c r="K481" i="26"/>
  <c r="J481" i="26"/>
  <c r="I481" i="26"/>
  <c r="H481" i="26"/>
  <c r="G481" i="26"/>
  <c r="F481" i="26"/>
  <c r="E481" i="26"/>
  <c r="P476" i="26"/>
  <c r="O476" i="26"/>
  <c r="N476" i="26"/>
  <c r="M476" i="26"/>
  <c r="L476" i="26"/>
  <c r="K476" i="26"/>
  <c r="J476" i="26"/>
  <c r="I476" i="26"/>
  <c r="H476" i="26"/>
  <c r="G476" i="26"/>
  <c r="F476" i="26"/>
  <c r="E476" i="26"/>
  <c r="P475" i="26"/>
  <c r="O475" i="26"/>
  <c r="N475" i="26"/>
  <c r="M475" i="26"/>
  <c r="L475" i="26"/>
  <c r="K475" i="26"/>
  <c r="J475" i="26"/>
  <c r="I475" i="26"/>
  <c r="H475" i="26"/>
  <c r="G475" i="26"/>
  <c r="F475" i="26"/>
  <c r="E475" i="26"/>
  <c r="P474" i="26"/>
  <c r="O474" i="26"/>
  <c r="N474" i="26"/>
  <c r="M474" i="26"/>
  <c r="L474" i="26"/>
  <c r="K474" i="26"/>
  <c r="J474" i="26"/>
  <c r="I474" i="26"/>
  <c r="H474" i="26"/>
  <c r="G474" i="26"/>
  <c r="F474" i="26"/>
  <c r="E474" i="26"/>
  <c r="P470" i="26"/>
  <c r="O470" i="26"/>
  <c r="N470" i="26"/>
  <c r="M470" i="26"/>
  <c r="L470" i="26"/>
  <c r="K470" i="26"/>
  <c r="J470" i="26"/>
  <c r="I470" i="26"/>
  <c r="H470" i="26"/>
  <c r="G470" i="26"/>
  <c r="F470" i="26"/>
  <c r="E470" i="26"/>
  <c r="A470" i="26"/>
  <c r="P469" i="26"/>
  <c r="O469" i="26"/>
  <c r="N469" i="26"/>
  <c r="M469" i="26"/>
  <c r="L469" i="26"/>
  <c r="K469" i="26"/>
  <c r="J469" i="26"/>
  <c r="I469" i="26"/>
  <c r="H469" i="26"/>
  <c r="G469" i="26"/>
  <c r="F469" i="26"/>
  <c r="E469" i="26"/>
  <c r="A469" i="26"/>
  <c r="P468" i="26"/>
  <c r="O468" i="26"/>
  <c r="N468" i="26"/>
  <c r="M468" i="26"/>
  <c r="L468" i="26"/>
  <c r="K468" i="26"/>
  <c r="J468" i="26"/>
  <c r="I468" i="26"/>
  <c r="H468" i="26"/>
  <c r="G468" i="26"/>
  <c r="F468" i="26"/>
  <c r="E468" i="26"/>
  <c r="A468" i="26"/>
  <c r="A467" i="26"/>
  <c r="P465" i="26"/>
  <c r="O465" i="26"/>
  <c r="N465" i="26"/>
  <c r="M465" i="26"/>
  <c r="L465" i="26"/>
  <c r="K465" i="26"/>
  <c r="J465" i="26"/>
  <c r="I465" i="26"/>
  <c r="H465" i="26"/>
  <c r="G465" i="26"/>
  <c r="F465" i="26"/>
  <c r="E465" i="26"/>
  <c r="A465" i="26"/>
  <c r="P464" i="26"/>
  <c r="O464" i="26"/>
  <c r="N464" i="26"/>
  <c r="M464" i="26"/>
  <c r="L464" i="26"/>
  <c r="K464" i="26"/>
  <c r="J464" i="26"/>
  <c r="I464" i="26"/>
  <c r="H464" i="26"/>
  <c r="G464" i="26"/>
  <c r="F464" i="26"/>
  <c r="E464" i="26"/>
  <c r="A464" i="26"/>
  <c r="P462" i="26"/>
  <c r="O462" i="26"/>
  <c r="N462" i="26"/>
  <c r="M462" i="26"/>
  <c r="L462" i="26"/>
  <c r="K462" i="26"/>
  <c r="J462" i="26"/>
  <c r="I462" i="26"/>
  <c r="H462" i="26"/>
  <c r="G462" i="26"/>
  <c r="F462" i="26"/>
  <c r="E462" i="26"/>
  <c r="A462" i="26"/>
  <c r="P461" i="26"/>
  <c r="O461" i="26"/>
  <c r="N461" i="26"/>
  <c r="M461" i="26"/>
  <c r="L461" i="26"/>
  <c r="K461" i="26"/>
  <c r="J461" i="26"/>
  <c r="I461" i="26"/>
  <c r="H461" i="26"/>
  <c r="G461" i="26"/>
  <c r="F461" i="26"/>
  <c r="E461" i="26"/>
  <c r="A461" i="26"/>
  <c r="P460" i="26"/>
  <c r="O460" i="26"/>
  <c r="N460" i="26"/>
  <c r="M460" i="26"/>
  <c r="L460" i="26"/>
  <c r="K460" i="26"/>
  <c r="J460" i="26"/>
  <c r="I460" i="26"/>
  <c r="H460" i="26"/>
  <c r="G460" i="26"/>
  <c r="F460" i="26"/>
  <c r="E460" i="26"/>
  <c r="A460" i="26"/>
  <c r="P459" i="26"/>
  <c r="O459" i="26"/>
  <c r="N459" i="26"/>
  <c r="M459" i="26"/>
  <c r="L459" i="26"/>
  <c r="K459" i="26"/>
  <c r="J459" i="26"/>
  <c r="I459" i="26"/>
  <c r="H459" i="26"/>
  <c r="G459" i="26"/>
  <c r="F459" i="26"/>
  <c r="E459" i="26"/>
  <c r="A459" i="26"/>
  <c r="P458" i="26"/>
  <c r="O458" i="26"/>
  <c r="N458" i="26"/>
  <c r="M458" i="26"/>
  <c r="L458" i="26"/>
  <c r="K458" i="26"/>
  <c r="J458" i="26"/>
  <c r="I458" i="26"/>
  <c r="H458" i="26"/>
  <c r="G458" i="26"/>
  <c r="F458" i="26"/>
  <c r="E458" i="26"/>
  <c r="A458" i="26"/>
  <c r="P457" i="26"/>
  <c r="O457" i="26"/>
  <c r="N457" i="26"/>
  <c r="M457" i="26"/>
  <c r="L457" i="26"/>
  <c r="K457" i="26"/>
  <c r="J457" i="26"/>
  <c r="I457" i="26"/>
  <c r="H457" i="26"/>
  <c r="G457" i="26"/>
  <c r="F457" i="26"/>
  <c r="E457" i="26"/>
  <c r="A457" i="26"/>
  <c r="P456" i="26"/>
  <c r="O456" i="26"/>
  <c r="N456" i="26"/>
  <c r="M456" i="26"/>
  <c r="L456" i="26"/>
  <c r="K456" i="26"/>
  <c r="J456" i="26"/>
  <c r="I456" i="26"/>
  <c r="H456" i="26"/>
  <c r="G456" i="26"/>
  <c r="F456" i="26"/>
  <c r="E456" i="26"/>
  <c r="A456" i="26"/>
  <c r="P455" i="26"/>
  <c r="O455" i="26"/>
  <c r="N455" i="26"/>
  <c r="M455" i="26"/>
  <c r="L455" i="26"/>
  <c r="K455" i="26"/>
  <c r="J455" i="26"/>
  <c r="I455" i="26"/>
  <c r="H455" i="26"/>
  <c r="G455" i="26"/>
  <c r="F455" i="26"/>
  <c r="E455" i="26"/>
  <c r="A455" i="26"/>
  <c r="P454" i="26"/>
  <c r="O454" i="26"/>
  <c r="N454" i="26"/>
  <c r="M454" i="26"/>
  <c r="L454" i="26"/>
  <c r="K454" i="26"/>
  <c r="J454" i="26"/>
  <c r="I454" i="26"/>
  <c r="H454" i="26"/>
  <c r="G454" i="26"/>
  <c r="F454" i="26"/>
  <c r="E454" i="26"/>
  <c r="B454" i="26"/>
  <c r="A454" i="26"/>
  <c r="P453" i="26"/>
  <c r="O453" i="26"/>
  <c r="N453" i="26"/>
  <c r="M453" i="26"/>
  <c r="L453" i="26"/>
  <c r="K453" i="26"/>
  <c r="J453" i="26"/>
  <c r="I453" i="26"/>
  <c r="H453" i="26"/>
  <c r="G453" i="26"/>
  <c r="F453" i="26"/>
  <c r="E453" i="26"/>
  <c r="A453" i="26"/>
  <c r="P452" i="26"/>
  <c r="O452" i="26"/>
  <c r="N452" i="26"/>
  <c r="M452" i="26"/>
  <c r="L452" i="26"/>
  <c r="K452" i="26"/>
  <c r="J452" i="26"/>
  <c r="I452" i="26"/>
  <c r="H452" i="26"/>
  <c r="G452" i="26"/>
  <c r="F452" i="26"/>
  <c r="E452" i="26"/>
  <c r="A452" i="26"/>
  <c r="P451" i="26"/>
  <c r="O451" i="26"/>
  <c r="N451" i="26"/>
  <c r="M451" i="26"/>
  <c r="L451" i="26"/>
  <c r="K451" i="26"/>
  <c r="J451" i="26"/>
  <c r="I451" i="26"/>
  <c r="H451" i="26"/>
  <c r="G451" i="26"/>
  <c r="F451" i="26"/>
  <c r="E451" i="26"/>
  <c r="A451" i="26"/>
  <c r="P450" i="26"/>
  <c r="O450" i="26"/>
  <c r="N450" i="26"/>
  <c r="M450" i="26"/>
  <c r="L450" i="26"/>
  <c r="K450" i="26"/>
  <c r="J450" i="26"/>
  <c r="I450" i="26"/>
  <c r="H450" i="26"/>
  <c r="G450" i="26"/>
  <c r="F450" i="26"/>
  <c r="E450" i="26"/>
  <c r="A450" i="26"/>
  <c r="P449" i="26"/>
  <c r="O449" i="26"/>
  <c r="N449" i="26"/>
  <c r="M449" i="26"/>
  <c r="L449" i="26"/>
  <c r="K449" i="26"/>
  <c r="J449" i="26"/>
  <c r="I449" i="26"/>
  <c r="H449" i="26"/>
  <c r="G449" i="26"/>
  <c r="F449" i="26"/>
  <c r="E449" i="26"/>
  <c r="A449" i="26"/>
  <c r="P448" i="26"/>
  <c r="O448" i="26"/>
  <c r="N448" i="26"/>
  <c r="M448" i="26"/>
  <c r="L448" i="26"/>
  <c r="K448" i="26"/>
  <c r="J448" i="26"/>
  <c r="I448" i="26"/>
  <c r="H448" i="26"/>
  <c r="G448" i="26"/>
  <c r="F448" i="26"/>
  <c r="E448" i="26"/>
  <c r="A448" i="26"/>
  <c r="P447" i="26"/>
  <c r="O447" i="26"/>
  <c r="N447" i="26"/>
  <c r="M447" i="26"/>
  <c r="L447" i="26"/>
  <c r="K447" i="26"/>
  <c r="J447" i="26"/>
  <c r="I447" i="26"/>
  <c r="H447" i="26"/>
  <c r="G447" i="26"/>
  <c r="F447" i="26"/>
  <c r="E447" i="26"/>
  <c r="A447" i="26"/>
  <c r="P446" i="26"/>
  <c r="O446" i="26"/>
  <c r="N446" i="26"/>
  <c r="M446" i="26"/>
  <c r="L446" i="26"/>
  <c r="K446" i="26"/>
  <c r="J446" i="26"/>
  <c r="I446" i="26"/>
  <c r="H446" i="26"/>
  <c r="G446" i="26"/>
  <c r="F446" i="26"/>
  <c r="E446" i="26"/>
  <c r="A446" i="26"/>
  <c r="P445" i="26"/>
  <c r="O445" i="26"/>
  <c r="N445" i="26"/>
  <c r="M445" i="26"/>
  <c r="L445" i="26"/>
  <c r="K445" i="26"/>
  <c r="J445" i="26"/>
  <c r="I445" i="26"/>
  <c r="H445" i="26"/>
  <c r="G445" i="26"/>
  <c r="F445" i="26"/>
  <c r="E445" i="26"/>
  <c r="A445" i="26"/>
  <c r="P444" i="26"/>
  <c r="O444" i="26"/>
  <c r="N444" i="26"/>
  <c r="M444" i="26"/>
  <c r="L444" i="26"/>
  <c r="K444" i="26"/>
  <c r="J444" i="26"/>
  <c r="I444" i="26"/>
  <c r="H444" i="26"/>
  <c r="G444" i="26"/>
  <c r="F444" i="26"/>
  <c r="E444" i="26"/>
  <c r="A444" i="26"/>
  <c r="P443" i="26"/>
  <c r="O443" i="26"/>
  <c r="N443" i="26"/>
  <c r="M443" i="26"/>
  <c r="L443" i="26"/>
  <c r="K443" i="26"/>
  <c r="J443" i="26"/>
  <c r="I443" i="26"/>
  <c r="H443" i="26"/>
  <c r="G443" i="26"/>
  <c r="F443" i="26"/>
  <c r="E443" i="26"/>
  <c r="A443" i="26"/>
  <c r="A442" i="26"/>
  <c r="P440" i="26"/>
  <c r="O440" i="26"/>
  <c r="N440" i="26"/>
  <c r="M440" i="26"/>
  <c r="L440" i="26"/>
  <c r="K440" i="26"/>
  <c r="J440" i="26"/>
  <c r="I440" i="26"/>
  <c r="H440" i="26"/>
  <c r="G440" i="26"/>
  <c r="F440" i="26"/>
  <c r="E440" i="26"/>
  <c r="A440" i="26"/>
  <c r="P439" i="26"/>
  <c r="O439" i="26"/>
  <c r="N439" i="26"/>
  <c r="M439" i="26"/>
  <c r="L439" i="26"/>
  <c r="K439" i="26"/>
  <c r="J439" i="26"/>
  <c r="I439" i="26"/>
  <c r="H439" i="26"/>
  <c r="G439" i="26"/>
  <c r="F439" i="26"/>
  <c r="E439" i="26"/>
  <c r="A439" i="26"/>
  <c r="P438" i="26"/>
  <c r="O438" i="26"/>
  <c r="N438" i="26"/>
  <c r="M438" i="26"/>
  <c r="L438" i="26"/>
  <c r="K438" i="26"/>
  <c r="J438" i="26"/>
  <c r="I438" i="26"/>
  <c r="H438" i="26"/>
  <c r="G438" i="26"/>
  <c r="F438" i="26"/>
  <c r="E438" i="26"/>
  <c r="A438" i="26"/>
  <c r="P437" i="26"/>
  <c r="O437" i="26"/>
  <c r="N437" i="26"/>
  <c r="M437" i="26"/>
  <c r="L437" i="26"/>
  <c r="K437" i="26"/>
  <c r="J437" i="26"/>
  <c r="I437" i="26"/>
  <c r="H437" i="26"/>
  <c r="G437" i="26"/>
  <c r="F437" i="26"/>
  <c r="E437" i="26"/>
  <c r="A437" i="26"/>
  <c r="A436" i="26"/>
  <c r="P434" i="26"/>
  <c r="O434" i="26"/>
  <c r="N434" i="26"/>
  <c r="M434" i="26"/>
  <c r="L434" i="26"/>
  <c r="K434" i="26"/>
  <c r="J434" i="26"/>
  <c r="I434" i="26"/>
  <c r="H434" i="26"/>
  <c r="G434" i="26"/>
  <c r="F434" i="26"/>
  <c r="E434" i="26"/>
  <c r="A434" i="26"/>
  <c r="P433" i="26"/>
  <c r="O433" i="26"/>
  <c r="N433" i="26"/>
  <c r="M433" i="26"/>
  <c r="L433" i="26"/>
  <c r="K433" i="26"/>
  <c r="J433" i="26"/>
  <c r="I433" i="26"/>
  <c r="H433" i="26"/>
  <c r="G433" i="26"/>
  <c r="F433" i="26"/>
  <c r="E433" i="26"/>
  <c r="A433" i="26"/>
  <c r="P432" i="26"/>
  <c r="O432" i="26"/>
  <c r="N432" i="26"/>
  <c r="M432" i="26"/>
  <c r="L432" i="26"/>
  <c r="K432" i="26"/>
  <c r="J432" i="26"/>
  <c r="I432" i="26"/>
  <c r="H432" i="26"/>
  <c r="G432" i="26"/>
  <c r="F432" i="26"/>
  <c r="E432" i="26"/>
  <c r="A432" i="26"/>
  <c r="P430" i="26"/>
  <c r="O430" i="26"/>
  <c r="N430" i="26"/>
  <c r="M430" i="26"/>
  <c r="L430" i="26"/>
  <c r="K430" i="26"/>
  <c r="J430" i="26"/>
  <c r="I430" i="26"/>
  <c r="H430" i="26"/>
  <c r="G430" i="26"/>
  <c r="F430" i="26"/>
  <c r="E430" i="26"/>
  <c r="A430" i="26"/>
  <c r="P429" i="26"/>
  <c r="O429" i="26"/>
  <c r="N429" i="26"/>
  <c r="M429" i="26"/>
  <c r="L429" i="26"/>
  <c r="K429" i="26"/>
  <c r="J429" i="26"/>
  <c r="I429" i="26"/>
  <c r="H429" i="26"/>
  <c r="G429" i="26"/>
  <c r="F429" i="26"/>
  <c r="E429" i="26"/>
  <c r="A429" i="26"/>
  <c r="P428" i="26"/>
  <c r="O428" i="26"/>
  <c r="N428" i="26"/>
  <c r="M428" i="26"/>
  <c r="L428" i="26"/>
  <c r="K428" i="26"/>
  <c r="J428" i="26"/>
  <c r="I428" i="26"/>
  <c r="H428" i="26"/>
  <c r="G428" i="26"/>
  <c r="F428" i="26"/>
  <c r="E428" i="26"/>
  <c r="A428" i="26"/>
  <c r="P427" i="26"/>
  <c r="O427" i="26"/>
  <c r="N427" i="26"/>
  <c r="M427" i="26"/>
  <c r="L427" i="26"/>
  <c r="K427" i="26"/>
  <c r="J427" i="26"/>
  <c r="I427" i="26"/>
  <c r="H427" i="26"/>
  <c r="G427" i="26"/>
  <c r="F427" i="26"/>
  <c r="E427" i="26"/>
  <c r="A427" i="26"/>
  <c r="P426" i="26"/>
  <c r="O426" i="26"/>
  <c r="N426" i="26"/>
  <c r="M426" i="26"/>
  <c r="L426" i="26"/>
  <c r="K426" i="26"/>
  <c r="J426" i="26"/>
  <c r="I426" i="26"/>
  <c r="H426" i="26"/>
  <c r="G426" i="26"/>
  <c r="F426" i="26"/>
  <c r="E426" i="26"/>
  <c r="A426" i="26"/>
  <c r="P425" i="26"/>
  <c r="O425" i="26"/>
  <c r="N425" i="26"/>
  <c r="M425" i="26"/>
  <c r="L425" i="26"/>
  <c r="K425" i="26"/>
  <c r="J425" i="26"/>
  <c r="I425" i="26"/>
  <c r="H425" i="26"/>
  <c r="G425" i="26"/>
  <c r="F425" i="26"/>
  <c r="E425" i="26"/>
  <c r="A425" i="26"/>
  <c r="P424" i="26"/>
  <c r="O424" i="26"/>
  <c r="N424" i="26"/>
  <c r="M424" i="26"/>
  <c r="L424" i="26"/>
  <c r="K424" i="26"/>
  <c r="J424" i="26"/>
  <c r="I424" i="26"/>
  <c r="H424" i="26"/>
  <c r="G424" i="26"/>
  <c r="F424" i="26"/>
  <c r="E424" i="26"/>
  <c r="A424" i="26"/>
  <c r="P423" i="26"/>
  <c r="O423" i="26"/>
  <c r="N423" i="26"/>
  <c r="M423" i="26"/>
  <c r="L423" i="26"/>
  <c r="K423" i="26"/>
  <c r="J423" i="26"/>
  <c r="I423" i="26"/>
  <c r="H423" i="26"/>
  <c r="G423" i="26"/>
  <c r="F423" i="26"/>
  <c r="E423" i="26"/>
  <c r="A423" i="26"/>
  <c r="P422" i="26"/>
  <c r="O422" i="26"/>
  <c r="N422" i="26"/>
  <c r="M422" i="26"/>
  <c r="L422" i="26"/>
  <c r="K422" i="26"/>
  <c r="J422" i="26"/>
  <c r="I422" i="26"/>
  <c r="H422" i="26"/>
  <c r="G422" i="26"/>
  <c r="F422" i="26"/>
  <c r="E422" i="26"/>
  <c r="A422" i="26"/>
  <c r="P421" i="26"/>
  <c r="O421" i="26"/>
  <c r="N421" i="26"/>
  <c r="M421" i="26"/>
  <c r="L421" i="26"/>
  <c r="K421" i="26"/>
  <c r="J421" i="26"/>
  <c r="I421" i="26"/>
  <c r="H421" i="26"/>
  <c r="G421" i="26"/>
  <c r="F421" i="26"/>
  <c r="E421" i="26"/>
  <c r="A421" i="26"/>
  <c r="P418" i="26"/>
  <c r="O418" i="26"/>
  <c r="N418" i="26"/>
  <c r="M418" i="26"/>
  <c r="L418" i="26"/>
  <c r="K418" i="26"/>
  <c r="J418" i="26"/>
  <c r="I418" i="26"/>
  <c r="H418" i="26"/>
  <c r="G418" i="26"/>
  <c r="F418" i="26"/>
  <c r="E418" i="26"/>
  <c r="A418" i="26"/>
  <c r="P417" i="26"/>
  <c r="O417" i="26"/>
  <c r="N417" i="26"/>
  <c r="M417" i="26"/>
  <c r="L417" i="26"/>
  <c r="K417" i="26"/>
  <c r="J417" i="26"/>
  <c r="I417" i="26"/>
  <c r="H417" i="26"/>
  <c r="G417" i="26"/>
  <c r="F417" i="26"/>
  <c r="E417" i="26"/>
  <c r="A417" i="26"/>
  <c r="P416" i="26"/>
  <c r="O416" i="26"/>
  <c r="N416" i="26"/>
  <c r="M416" i="26"/>
  <c r="L416" i="26"/>
  <c r="K416" i="26"/>
  <c r="J416" i="26"/>
  <c r="I416" i="26"/>
  <c r="H416" i="26"/>
  <c r="G416" i="26"/>
  <c r="F416" i="26"/>
  <c r="E416" i="26"/>
  <c r="A416" i="26"/>
  <c r="P415" i="26"/>
  <c r="O415" i="26"/>
  <c r="N415" i="26"/>
  <c r="M415" i="26"/>
  <c r="L415" i="26"/>
  <c r="K415" i="26"/>
  <c r="J415" i="26"/>
  <c r="I415" i="26"/>
  <c r="H415" i="26"/>
  <c r="G415" i="26"/>
  <c r="F415" i="26"/>
  <c r="E415" i="26"/>
  <c r="A415" i="26"/>
  <c r="E414" i="26"/>
  <c r="A414" i="26"/>
  <c r="E413" i="26"/>
  <c r="A413" i="26"/>
  <c r="E412" i="26"/>
  <c r="A412" i="26"/>
  <c r="A411" i="26"/>
  <c r="P409" i="26"/>
  <c r="O409" i="26"/>
  <c r="N409" i="26"/>
  <c r="M409" i="26"/>
  <c r="L409" i="26"/>
  <c r="K409" i="26"/>
  <c r="J409" i="26"/>
  <c r="I409" i="26"/>
  <c r="H409" i="26"/>
  <c r="G409" i="26"/>
  <c r="F409" i="26"/>
  <c r="E409" i="26"/>
  <c r="A409" i="26"/>
  <c r="P408" i="26"/>
  <c r="O408" i="26"/>
  <c r="N408" i="26"/>
  <c r="M408" i="26"/>
  <c r="L408" i="26"/>
  <c r="K408" i="26"/>
  <c r="J408" i="26"/>
  <c r="I408" i="26"/>
  <c r="H408" i="26"/>
  <c r="G408" i="26"/>
  <c r="F408" i="26"/>
  <c r="E408" i="26"/>
  <c r="A408" i="26"/>
  <c r="P407" i="26"/>
  <c r="O407" i="26"/>
  <c r="N407" i="26"/>
  <c r="M407" i="26"/>
  <c r="L407" i="26"/>
  <c r="K407" i="26"/>
  <c r="J407" i="26"/>
  <c r="I407" i="26"/>
  <c r="H407" i="26"/>
  <c r="G407" i="26"/>
  <c r="F407" i="26"/>
  <c r="E407" i="26"/>
  <c r="A407" i="26"/>
  <c r="A406" i="26"/>
  <c r="P404" i="26"/>
  <c r="O404" i="26"/>
  <c r="N404" i="26"/>
  <c r="M404" i="26"/>
  <c r="L404" i="26"/>
  <c r="K404" i="26"/>
  <c r="J404" i="26"/>
  <c r="I404" i="26"/>
  <c r="H404" i="26"/>
  <c r="G404" i="26"/>
  <c r="F404" i="26"/>
  <c r="E404" i="26"/>
  <c r="A404" i="26"/>
  <c r="P403" i="26"/>
  <c r="O403" i="26"/>
  <c r="N403" i="26"/>
  <c r="M403" i="26"/>
  <c r="L403" i="26"/>
  <c r="K403" i="26"/>
  <c r="J403" i="26"/>
  <c r="I403" i="26"/>
  <c r="H403" i="26"/>
  <c r="G403" i="26"/>
  <c r="F403" i="26"/>
  <c r="E403" i="26"/>
  <c r="A403" i="26"/>
  <c r="P402" i="26"/>
  <c r="O402" i="26"/>
  <c r="N402" i="26"/>
  <c r="M402" i="26"/>
  <c r="L402" i="26"/>
  <c r="K402" i="26"/>
  <c r="J402" i="26"/>
  <c r="I402" i="26"/>
  <c r="H402" i="26"/>
  <c r="G402" i="26"/>
  <c r="F402" i="26"/>
  <c r="E402" i="26"/>
  <c r="A402" i="26"/>
  <c r="P401" i="26"/>
  <c r="O401" i="26"/>
  <c r="N401" i="26"/>
  <c r="M401" i="26"/>
  <c r="L401" i="26"/>
  <c r="K401" i="26"/>
  <c r="J401" i="26"/>
  <c r="I401" i="26"/>
  <c r="H401" i="26"/>
  <c r="G401" i="26"/>
  <c r="F401" i="26"/>
  <c r="E401" i="26"/>
  <c r="A401" i="26"/>
  <c r="P400" i="26"/>
  <c r="O400" i="26"/>
  <c r="N400" i="26"/>
  <c r="M400" i="26"/>
  <c r="L400" i="26"/>
  <c r="K400" i="26"/>
  <c r="J400" i="26"/>
  <c r="I400" i="26"/>
  <c r="H400" i="26"/>
  <c r="G400" i="26"/>
  <c r="F400" i="26"/>
  <c r="E400" i="26"/>
  <c r="P398" i="26"/>
  <c r="O398" i="26"/>
  <c r="N398" i="26"/>
  <c r="M398" i="26"/>
  <c r="L398" i="26"/>
  <c r="K398" i="26"/>
  <c r="J398" i="26"/>
  <c r="I398" i="26"/>
  <c r="H398" i="26"/>
  <c r="G398" i="26"/>
  <c r="F398" i="26"/>
  <c r="E398" i="26"/>
  <c r="A398" i="26"/>
  <c r="B396" i="26"/>
  <c r="P394" i="26"/>
  <c r="O394" i="26"/>
  <c r="N394" i="26"/>
  <c r="M394" i="26"/>
  <c r="L394" i="26"/>
  <c r="K394" i="26"/>
  <c r="J394" i="26"/>
  <c r="I394" i="26"/>
  <c r="H394" i="26"/>
  <c r="G394" i="26"/>
  <c r="F394" i="26"/>
  <c r="E394" i="26"/>
  <c r="A394" i="26"/>
  <c r="P393" i="26"/>
  <c r="O393" i="26"/>
  <c r="N393" i="26"/>
  <c r="M393" i="26"/>
  <c r="L393" i="26"/>
  <c r="K393" i="26"/>
  <c r="J393" i="26"/>
  <c r="I393" i="26"/>
  <c r="H393" i="26"/>
  <c r="G393" i="26"/>
  <c r="F393" i="26"/>
  <c r="E393" i="26"/>
  <c r="A393" i="26"/>
  <c r="P392" i="26"/>
  <c r="O392" i="26"/>
  <c r="N392" i="26"/>
  <c r="M392" i="26"/>
  <c r="L392" i="26"/>
  <c r="K392" i="26"/>
  <c r="J392" i="26"/>
  <c r="I392" i="26"/>
  <c r="H392" i="26"/>
  <c r="G392" i="26"/>
  <c r="F392" i="26"/>
  <c r="E392" i="26"/>
  <c r="A392" i="26"/>
  <c r="P389" i="26"/>
  <c r="O389" i="26"/>
  <c r="N389" i="26"/>
  <c r="M389" i="26"/>
  <c r="L389" i="26"/>
  <c r="K389" i="26"/>
  <c r="J389" i="26"/>
  <c r="I389" i="26"/>
  <c r="H389" i="26"/>
  <c r="G389" i="26"/>
  <c r="F389" i="26"/>
  <c r="E389" i="26"/>
  <c r="A389" i="26"/>
  <c r="P388" i="26"/>
  <c r="O388" i="26"/>
  <c r="N388" i="26"/>
  <c r="M388" i="26"/>
  <c r="L388" i="26"/>
  <c r="K388" i="26"/>
  <c r="J388" i="26"/>
  <c r="I388" i="26"/>
  <c r="H388" i="26"/>
  <c r="G388" i="26"/>
  <c r="F388" i="26"/>
  <c r="E388" i="26"/>
  <c r="A388" i="26"/>
  <c r="P386" i="26"/>
  <c r="O386" i="26"/>
  <c r="N386" i="26"/>
  <c r="M386" i="26"/>
  <c r="L386" i="26"/>
  <c r="K386" i="26"/>
  <c r="J386" i="26"/>
  <c r="I386" i="26"/>
  <c r="H386" i="26"/>
  <c r="G386" i="26"/>
  <c r="F386" i="26"/>
  <c r="E386" i="26"/>
  <c r="A386" i="26"/>
  <c r="P385" i="26"/>
  <c r="O385" i="26"/>
  <c r="N385" i="26"/>
  <c r="M385" i="26"/>
  <c r="L385" i="26"/>
  <c r="K385" i="26"/>
  <c r="J385" i="26"/>
  <c r="I385" i="26"/>
  <c r="H385" i="26"/>
  <c r="G385" i="26"/>
  <c r="F385" i="26"/>
  <c r="E385" i="26"/>
  <c r="A385" i="26"/>
  <c r="P384" i="26"/>
  <c r="O384" i="26"/>
  <c r="N384" i="26"/>
  <c r="M384" i="26"/>
  <c r="L384" i="26"/>
  <c r="K384" i="26"/>
  <c r="J384" i="26"/>
  <c r="I384" i="26"/>
  <c r="H384" i="26"/>
  <c r="G384" i="26"/>
  <c r="F384" i="26"/>
  <c r="E384" i="26"/>
  <c r="A384" i="26"/>
  <c r="P383" i="26"/>
  <c r="O383" i="26"/>
  <c r="N383" i="26"/>
  <c r="M383" i="26"/>
  <c r="L383" i="26"/>
  <c r="K383" i="26"/>
  <c r="J383" i="26"/>
  <c r="I383" i="26"/>
  <c r="H383" i="26"/>
  <c r="G383" i="26"/>
  <c r="F383" i="26"/>
  <c r="E383" i="26"/>
  <c r="A383" i="26"/>
  <c r="P382" i="26"/>
  <c r="O382" i="26"/>
  <c r="N382" i="26"/>
  <c r="M382" i="26"/>
  <c r="L382" i="26"/>
  <c r="K382" i="26"/>
  <c r="J382" i="26"/>
  <c r="I382" i="26"/>
  <c r="H382" i="26"/>
  <c r="G382" i="26"/>
  <c r="F382" i="26"/>
  <c r="E382" i="26"/>
  <c r="A382" i="26"/>
  <c r="P381" i="26"/>
  <c r="O381" i="26"/>
  <c r="N381" i="26"/>
  <c r="M381" i="26"/>
  <c r="L381" i="26"/>
  <c r="K381" i="26"/>
  <c r="J381" i="26"/>
  <c r="I381" i="26"/>
  <c r="H381" i="26"/>
  <c r="G381" i="26"/>
  <c r="F381" i="26"/>
  <c r="E381" i="26"/>
  <c r="A381" i="26"/>
  <c r="P380" i="26"/>
  <c r="O380" i="26"/>
  <c r="N380" i="26"/>
  <c r="M380" i="26"/>
  <c r="L380" i="26"/>
  <c r="K380" i="26"/>
  <c r="J380" i="26"/>
  <c r="I380" i="26"/>
  <c r="H380" i="26"/>
  <c r="G380" i="26"/>
  <c r="F380" i="26"/>
  <c r="E380" i="26"/>
  <c r="A380" i="26"/>
  <c r="P379" i="26"/>
  <c r="O379" i="26"/>
  <c r="N379" i="26"/>
  <c r="M379" i="26"/>
  <c r="L379" i="26"/>
  <c r="K379" i="26"/>
  <c r="J379" i="26"/>
  <c r="I379" i="26"/>
  <c r="H379" i="26"/>
  <c r="G379" i="26"/>
  <c r="F379" i="26"/>
  <c r="E379" i="26"/>
  <c r="A379" i="26"/>
  <c r="P378" i="26"/>
  <c r="O378" i="26"/>
  <c r="N378" i="26"/>
  <c r="M378" i="26"/>
  <c r="L378" i="26"/>
  <c r="K378" i="26"/>
  <c r="J378" i="26"/>
  <c r="I378" i="26"/>
  <c r="H378" i="26"/>
  <c r="G378" i="26"/>
  <c r="F378" i="26"/>
  <c r="E378" i="26"/>
  <c r="B378" i="26"/>
  <c r="A378" i="26"/>
  <c r="P377" i="26"/>
  <c r="O377" i="26"/>
  <c r="N377" i="26"/>
  <c r="M377" i="26"/>
  <c r="L377" i="26"/>
  <c r="K377" i="26"/>
  <c r="J377" i="26"/>
  <c r="I377" i="26"/>
  <c r="H377" i="26"/>
  <c r="G377" i="26"/>
  <c r="F377" i="26"/>
  <c r="E377" i="26"/>
  <c r="A377" i="26"/>
  <c r="P376" i="26"/>
  <c r="O376" i="26"/>
  <c r="N376" i="26"/>
  <c r="M376" i="26"/>
  <c r="L376" i="26"/>
  <c r="K376" i="26"/>
  <c r="J376" i="26"/>
  <c r="I376" i="26"/>
  <c r="H376" i="26"/>
  <c r="G376" i="26"/>
  <c r="F376" i="26"/>
  <c r="E376" i="26"/>
  <c r="A376" i="26"/>
  <c r="P375" i="26"/>
  <c r="O375" i="26"/>
  <c r="N375" i="26"/>
  <c r="M375" i="26"/>
  <c r="L375" i="26"/>
  <c r="K375" i="26"/>
  <c r="J375" i="26"/>
  <c r="I375" i="26"/>
  <c r="H375" i="26"/>
  <c r="G375" i="26"/>
  <c r="F375" i="26"/>
  <c r="E375" i="26"/>
  <c r="A375" i="26"/>
  <c r="P374" i="26"/>
  <c r="O374" i="26"/>
  <c r="N374" i="26"/>
  <c r="M374" i="26"/>
  <c r="L374" i="26"/>
  <c r="K374" i="26"/>
  <c r="J374" i="26"/>
  <c r="I374" i="26"/>
  <c r="H374" i="26"/>
  <c r="G374" i="26"/>
  <c r="F374" i="26"/>
  <c r="E374" i="26"/>
  <c r="A374" i="26"/>
  <c r="P373" i="26"/>
  <c r="O373" i="26"/>
  <c r="N373" i="26"/>
  <c r="M373" i="26"/>
  <c r="L373" i="26"/>
  <c r="K373" i="26"/>
  <c r="J373" i="26"/>
  <c r="I373" i="26"/>
  <c r="H373" i="26"/>
  <c r="G373" i="26"/>
  <c r="F373" i="26"/>
  <c r="E373" i="26"/>
  <c r="A373" i="26"/>
  <c r="P372" i="26"/>
  <c r="O372" i="26"/>
  <c r="N372" i="26"/>
  <c r="M372" i="26"/>
  <c r="L372" i="26"/>
  <c r="K372" i="26"/>
  <c r="J372" i="26"/>
  <c r="I372" i="26"/>
  <c r="H372" i="26"/>
  <c r="G372" i="26"/>
  <c r="F372" i="26"/>
  <c r="E372" i="26"/>
  <c r="A372" i="26"/>
  <c r="P371" i="26"/>
  <c r="O371" i="26"/>
  <c r="N371" i="26"/>
  <c r="M371" i="26"/>
  <c r="L371" i="26"/>
  <c r="K371" i="26"/>
  <c r="J371" i="26"/>
  <c r="I371" i="26"/>
  <c r="H371" i="26"/>
  <c r="G371" i="26"/>
  <c r="F371" i="26"/>
  <c r="E371" i="26"/>
  <c r="A371" i="26"/>
  <c r="P370" i="26"/>
  <c r="O370" i="26"/>
  <c r="N370" i="26"/>
  <c r="M370" i="26"/>
  <c r="L370" i="26"/>
  <c r="K370" i="26"/>
  <c r="J370" i="26"/>
  <c r="I370" i="26"/>
  <c r="H370" i="26"/>
  <c r="G370" i="26"/>
  <c r="F370" i="26"/>
  <c r="E370" i="26"/>
  <c r="A370" i="26"/>
  <c r="P369" i="26"/>
  <c r="O369" i="26"/>
  <c r="N369" i="26"/>
  <c r="M369" i="26"/>
  <c r="L369" i="26"/>
  <c r="K369" i="26"/>
  <c r="J369" i="26"/>
  <c r="I369" i="26"/>
  <c r="H369" i="26"/>
  <c r="G369" i="26"/>
  <c r="F369" i="26"/>
  <c r="E369" i="26"/>
  <c r="A369" i="26"/>
  <c r="P368" i="26"/>
  <c r="O368" i="26"/>
  <c r="N368" i="26"/>
  <c r="M368" i="26"/>
  <c r="L368" i="26"/>
  <c r="K368" i="26"/>
  <c r="J368" i="26"/>
  <c r="I368" i="26"/>
  <c r="H368" i="26"/>
  <c r="G368" i="26"/>
  <c r="F368" i="26"/>
  <c r="E368" i="26"/>
  <c r="A368" i="26"/>
  <c r="P367" i="26"/>
  <c r="O367" i="26"/>
  <c r="N367" i="26"/>
  <c r="M367" i="26"/>
  <c r="L367" i="26"/>
  <c r="K367" i="26"/>
  <c r="J367" i="26"/>
  <c r="I367" i="26"/>
  <c r="H367" i="26"/>
  <c r="G367" i="26"/>
  <c r="F367" i="26"/>
  <c r="E367" i="26"/>
  <c r="A367" i="26"/>
  <c r="P364" i="26"/>
  <c r="O364" i="26"/>
  <c r="N364" i="26"/>
  <c r="M364" i="26"/>
  <c r="L364" i="26"/>
  <c r="K364" i="26"/>
  <c r="J364" i="26"/>
  <c r="I364" i="26"/>
  <c r="H364" i="26"/>
  <c r="G364" i="26"/>
  <c r="F364" i="26"/>
  <c r="A364" i="26"/>
  <c r="P363" i="26"/>
  <c r="O363" i="26"/>
  <c r="N363" i="26"/>
  <c r="M363" i="26"/>
  <c r="L363" i="26"/>
  <c r="K363" i="26"/>
  <c r="J363" i="26"/>
  <c r="I363" i="26"/>
  <c r="H363" i="26"/>
  <c r="G363" i="26"/>
  <c r="F363" i="26"/>
  <c r="E363" i="26"/>
  <c r="A363" i="26"/>
  <c r="P362" i="26"/>
  <c r="O362" i="26"/>
  <c r="N362" i="26"/>
  <c r="M362" i="26"/>
  <c r="L362" i="26"/>
  <c r="K362" i="26"/>
  <c r="J362" i="26"/>
  <c r="I362" i="26"/>
  <c r="H362" i="26"/>
  <c r="G362" i="26"/>
  <c r="F362" i="26"/>
  <c r="A362" i="26"/>
  <c r="P361" i="26"/>
  <c r="O361" i="26"/>
  <c r="N361" i="26"/>
  <c r="M361" i="26"/>
  <c r="L361" i="26"/>
  <c r="K361" i="26"/>
  <c r="J361" i="26"/>
  <c r="I361" i="26"/>
  <c r="H361" i="26"/>
  <c r="G361" i="26"/>
  <c r="F361" i="26"/>
  <c r="E361" i="26"/>
  <c r="A361" i="26"/>
  <c r="P358" i="26"/>
  <c r="O358" i="26"/>
  <c r="N358" i="26"/>
  <c r="M358" i="26"/>
  <c r="L358" i="26"/>
  <c r="K358" i="26"/>
  <c r="J358" i="26"/>
  <c r="I358" i="26"/>
  <c r="H358" i="26"/>
  <c r="G358" i="26"/>
  <c r="F358" i="26"/>
  <c r="E358" i="26"/>
  <c r="A358" i="26"/>
  <c r="P357" i="26"/>
  <c r="O357" i="26"/>
  <c r="N357" i="26"/>
  <c r="M357" i="26"/>
  <c r="L357" i="26"/>
  <c r="K357" i="26"/>
  <c r="J357" i="26"/>
  <c r="I357" i="26"/>
  <c r="H357" i="26"/>
  <c r="G357" i="26"/>
  <c r="F357" i="26"/>
  <c r="E357" i="26"/>
  <c r="P356" i="26"/>
  <c r="O356" i="26"/>
  <c r="N356" i="26"/>
  <c r="M356" i="26"/>
  <c r="L356" i="26"/>
  <c r="K356" i="26"/>
  <c r="J356" i="26"/>
  <c r="I356" i="26"/>
  <c r="H356" i="26"/>
  <c r="G356" i="26"/>
  <c r="F356" i="26"/>
  <c r="E356" i="26"/>
  <c r="P354" i="26"/>
  <c r="O354" i="26"/>
  <c r="N354" i="26"/>
  <c r="M354" i="26"/>
  <c r="L354" i="26"/>
  <c r="K354" i="26"/>
  <c r="J354" i="26"/>
  <c r="I354" i="26"/>
  <c r="H354" i="26"/>
  <c r="G354" i="26"/>
  <c r="F354" i="26"/>
  <c r="E354" i="26"/>
  <c r="A354" i="26"/>
  <c r="P353" i="26"/>
  <c r="O353" i="26"/>
  <c r="N353" i="26"/>
  <c r="M353" i="26"/>
  <c r="L353" i="26"/>
  <c r="K353" i="26"/>
  <c r="J353" i="26"/>
  <c r="I353" i="26"/>
  <c r="H353" i="26"/>
  <c r="G353" i="26"/>
  <c r="F353" i="26"/>
  <c r="E353" i="26"/>
  <c r="A353" i="26"/>
  <c r="P352" i="26"/>
  <c r="O352" i="26"/>
  <c r="N352" i="26"/>
  <c r="M352" i="26"/>
  <c r="L352" i="26"/>
  <c r="K352" i="26"/>
  <c r="J352" i="26"/>
  <c r="I352" i="26"/>
  <c r="H352" i="26"/>
  <c r="G352" i="26"/>
  <c r="F352" i="26"/>
  <c r="E352" i="26"/>
  <c r="A352" i="26"/>
  <c r="P351" i="26"/>
  <c r="O351" i="26"/>
  <c r="N351" i="26"/>
  <c r="M351" i="26"/>
  <c r="L351" i="26"/>
  <c r="K351" i="26"/>
  <c r="J351" i="26"/>
  <c r="I351" i="26"/>
  <c r="H351" i="26"/>
  <c r="G351" i="26"/>
  <c r="F351" i="26"/>
  <c r="E351" i="26"/>
  <c r="A351" i="26"/>
  <c r="P350" i="26"/>
  <c r="O350" i="26"/>
  <c r="N350" i="26"/>
  <c r="M350" i="26"/>
  <c r="L350" i="26"/>
  <c r="K350" i="26"/>
  <c r="J350" i="26"/>
  <c r="I350" i="26"/>
  <c r="H350" i="26"/>
  <c r="G350" i="26"/>
  <c r="F350" i="26"/>
  <c r="E350" i="26"/>
  <c r="A350" i="26"/>
  <c r="P349" i="26"/>
  <c r="O349" i="26"/>
  <c r="N349" i="26"/>
  <c r="M349" i="26"/>
  <c r="L349" i="26"/>
  <c r="K349" i="26"/>
  <c r="J349" i="26"/>
  <c r="I349" i="26"/>
  <c r="H349" i="26"/>
  <c r="G349" i="26"/>
  <c r="F349" i="26"/>
  <c r="E349" i="26"/>
  <c r="A349" i="26"/>
  <c r="P348" i="26"/>
  <c r="O348" i="26"/>
  <c r="N348" i="26"/>
  <c r="M348" i="26"/>
  <c r="L348" i="26"/>
  <c r="K348" i="26"/>
  <c r="J348" i="26"/>
  <c r="I348" i="26"/>
  <c r="H348" i="26"/>
  <c r="G348" i="26"/>
  <c r="F348" i="26"/>
  <c r="E348" i="26"/>
  <c r="A348" i="26"/>
  <c r="P347" i="26"/>
  <c r="O347" i="26"/>
  <c r="N347" i="26"/>
  <c r="M347" i="26"/>
  <c r="L347" i="26"/>
  <c r="K347" i="26"/>
  <c r="J347" i="26"/>
  <c r="I347" i="26"/>
  <c r="H347" i="26"/>
  <c r="G347" i="26"/>
  <c r="F347" i="26"/>
  <c r="E347" i="26"/>
  <c r="A347" i="26"/>
  <c r="P346" i="26"/>
  <c r="O346" i="26"/>
  <c r="N346" i="26"/>
  <c r="M346" i="26"/>
  <c r="L346" i="26"/>
  <c r="K346" i="26"/>
  <c r="J346" i="26"/>
  <c r="I346" i="26"/>
  <c r="H346" i="26"/>
  <c r="G346" i="26"/>
  <c r="F346" i="26"/>
  <c r="E346" i="26"/>
  <c r="A346" i="26"/>
  <c r="P345" i="26"/>
  <c r="O345" i="26"/>
  <c r="N345" i="26"/>
  <c r="M345" i="26"/>
  <c r="L345" i="26"/>
  <c r="K345" i="26"/>
  <c r="J345" i="26"/>
  <c r="I345" i="26"/>
  <c r="H345" i="26"/>
  <c r="G345" i="26"/>
  <c r="F345" i="26"/>
  <c r="E345" i="26"/>
  <c r="A345" i="26"/>
  <c r="P342" i="26"/>
  <c r="O342" i="26"/>
  <c r="N342" i="26"/>
  <c r="M342" i="26"/>
  <c r="L342" i="26"/>
  <c r="K342" i="26"/>
  <c r="J342" i="26"/>
  <c r="I342" i="26"/>
  <c r="H342" i="26"/>
  <c r="G342" i="26"/>
  <c r="F342" i="26"/>
  <c r="E342" i="26"/>
  <c r="A342" i="26"/>
  <c r="P341" i="26"/>
  <c r="O341" i="26"/>
  <c r="N341" i="26"/>
  <c r="M341" i="26"/>
  <c r="L341" i="26"/>
  <c r="K341" i="26"/>
  <c r="J341" i="26"/>
  <c r="I341" i="26"/>
  <c r="H341" i="26"/>
  <c r="G341" i="26"/>
  <c r="F341" i="26"/>
  <c r="E341" i="26"/>
  <c r="A341" i="26"/>
  <c r="P340" i="26"/>
  <c r="O340" i="26"/>
  <c r="N340" i="26"/>
  <c r="M340" i="26"/>
  <c r="L340" i="26"/>
  <c r="K340" i="26"/>
  <c r="J340" i="26"/>
  <c r="I340" i="26"/>
  <c r="H340" i="26"/>
  <c r="G340" i="26"/>
  <c r="F340" i="26"/>
  <c r="E340" i="26"/>
  <c r="A340" i="26"/>
  <c r="P339" i="26"/>
  <c r="O339" i="26"/>
  <c r="N339" i="26"/>
  <c r="M339" i="26"/>
  <c r="L339" i="26"/>
  <c r="K339" i="26"/>
  <c r="J339" i="26"/>
  <c r="I339" i="26"/>
  <c r="H339" i="26"/>
  <c r="G339" i="26"/>
  <c r="F339" i="26"/>
  <c r="E339" i="26"/>
  <c r="A339" i="26"/>
  <c r="P338" i="26"/>
  <c r="O338" i="26"/>
  <c r="N338" i="26"/>
  <c r="M338" i="26"/>
  <c r="L338" i="26"/>
  <c r="K338" i="26"/>
  <c r="J338" i="26"/>
  <c r="I338" i="26"/>
  <c r="H338" i="26"/>
  <c r="G338" i="26"/>
  <c r="F338" i="26"/>
  <c r="E338" i="26"/>
  <c r="A338" i="26"/>
  <c r="P337" i="26"/>
  <c r="O337" i="26"/>
  <c r="N337" i="26"/>
  <c r="M337" i="26"/>
  <c r="L337" i="26"/>
  <c r="K337" i="26"/>
  <c r="J337" i="26"/>
  <c r="I337" i="26"/>
  <c r="H337" i="26"/>
  <c r="G337" i="26"/>
  <c r="F337" i="26"/>
  <c r="E337" i="26"/>
  <c r="A337" i="26"/>
  <c r="P336" i="26"/>
  <c r="O336" i="26"/>
  <c r="N336" i="26"/>
  <c r="M336" i="26"/>
  <c r="L336" i="26"/>
  <c r="K336" i="26"/>
  <c r="J336" i="26"/>
  <c r="I336" i="26"/>
  <c r="H336" i="26"/>
  <c r="G336" i="26"/>
  <c r="F336" i="26"/>
  <c r="E336" i="26"/>
  <c r="A336" i="26"/>
  <c r="P333" i="26"/>
  <c r="O333" i="26"/>
  <c r="N333" i="26"/>
  <c r="M333" i="26"/>
  <c r="L333" i="26"/>
  <c r="K333" i="26"/>
  <c r="J333" i="26"/>
  <c r="I333" i="26"/>
  <c r="H333" i="26"/>
  <c r="G333" i="26"/>
  <c r="F333" i="26"/>
  <c r="E333" i="26"/>
  <c r="A333" i="26"/>
  <c r="P332" i="26"/>
  <c r="O332" i="26"/>
  <c r="N332" i="26"/>
  <c r="M332" i="26"/>
  <c r="L332" i="26"/>
  <c r="K332" i="26"/>
  <c r="J332" i="26"/>
  <c r="I332" i="26"/>
  <c r="H332" i="26"/>
  <c r="G332" i="26"/>
  <c r="F332" i="26"/>
  <c r="E332" i="26"/>
  <c r="A332" i="26"/>
  <c r="P331" i="26"/>
  <c r="O331" i="26"/>
  <c r="N331" i="26"/>
  <c r="M331" i="26"/>
  <c r="L331" i="26"/>
  <c r="K331" i="26"/>
  <c r="J331" i="26"/>
  <c r="I331" i="26"/>
  <c r="H331" i="26"/>
  <c r="G331" i="26"/>
  <c r="F331" i="26"/>
  <c r="E331" i="26"/>
  <c r="A331" i="26"/>
  <c r="P328" i="26"/>
  <c r="O328" i="26"/>
  <c r="N328" i="26"/>
  <c r="M328" i="26"/>
  <c r="L328" i="26"/>
  <c r="K328" i="26"/>
  <c r="J328" i="26"/>
  <c r="I328" i="26"/>
  <c r="H328" i="26"/>
  <c r="G328" i="26"/>
  <c r="F328" i="26"/>
  <c r="E328" i="26"/>
  <c r="A328" i="26"/>
  <c r="P327" i="26"/>
  <c r="O327" i="26"/>
  <c r="N327" i="26"/>
  <c r="M327" i="26"/>
  <c r="L327" i="26"/>
  <c r="K327" i="26"/>
  <c r="J327" i="26"/>
  <c r="I327" i="26"/>
  <c r="H327" i="26"/>
  <c r="G327" i="26"/>
  <c r="F327" i="26"/>
  <c r="E327" i="26"/>
  <c r="A327" i="26"/>
  <c r="P326" i="26"/>
  <c r="O326" i="26"/>
  <c r="N326" i="26"/>
  <c r="M326" i="26"/>
  <c r="L326" i="26"/>
  <c r="K326" i="26"/>
  <c r="J326" i="26"/>
  <c r="I326" i="26"/>
  <c r="H326" i="26"/>
  <c r="G326" i="26"/>
  <c r="F326" i="26"/>
  <c r="E326" i="26"/>
  <c r="A326" i="26"/>
  <c r="P325" i="26"/>
  <c r="O325" i="26"/>
  <c r="N325" i="26"/>
  <c r="M325" i="26"/>
  <c r="L325" i="26"/>
  <c r="K325" i="26"/>
  <c r="J325" i="26"/>
  <c r="I325" i="26"/>
  <c r="H325" i="26"/>
  <c r="G325" i="26"/>
  <c r="F325" i="26"/>
  <c r="E325" i="26"/>
  <c r="A325" i="26"/>
  <c r="P324" i="26"/>
  <c r="O324" i="26"/>
  <c r="N324" i="26"/>
  <c r="M324" i="26"/>
  <c r="L324" i="26"/>
  <c r="K324" i="26"/>
  <c r="J324" i="26"/>
  <c r="I324" i="26"/>
  <c r="H324" i="26"/>
  <c r="G324" i="26"/>
  <c r="F324" i="26"/>
  <c r="E324" i="26"/>
  <c r="P322" i="26"/>
  <c r="O322" i="26"/>
  <c r="N322" i="26"/>
  <c r="M322" i="26"/>
  <c r="L322" i="26"/>
  <c r="K322" i="26"/>
  <c r="J322" i="26"/>
  <c r="I322" i="26"/>
  <c r="H322" i="26"/>
  <c r="G322" i="26"/>
  <c r="F322" i="26"/>
  <c r="E322" i="26"/>
  <c r="A322" i="26"/>
  <c r="B320" i="26"/>
  <c r="P318" i="26"/>
  <c r="O318" i="26"/>
  <c r="N318" i="26"/>
  <c r="M318" i="26"/>
  <c r="L318" i="26"/>
  <c r="K318" i="26"/>
  <c r="J318" i="26"/>
  <c r="I318" i="26"/>
  <c r="H318" i="26"/>
  <c r="G318" i="26"/>
  <c r="F318" i="26"/>
  <c r="E318" i="26"/>
  <c r="A318" i="26"/>
  <c r="P317" i="26"/>
  <c r="O317" i="26"/>
  <c r="N317" i="26"/>
  <c r="M317" i="26"/>
  <c r="L317" i="26"/>
  <c r="K317" i="26"/>
  <c r="J317" i="26"/>
  <c r="I317" i="26"/>
  <c r="H317" i="26"/>
  <c r="G317" i="26"/>
  <c r="F317" i="26"/>
  <c r="E317" i="26"/>
  <c r="A317" i="26"/>
  <c r="P316" i="26"/>
  <c r="O316" i="26"/>
  <c r="N316" i="26"/>
  <c r="M316" i="26"/>
  <c r="L316" i="26"/>
  <c r="K316" i="26"/>
  <c r="J316" i="26"/>
  <c r="I316" i="26"/>
  <c r="H316" i="26"/>
  <c r="G316" i="26"/>
  <c r="F316" i="26"/>
  <c r="E316" i="26"/>
  <c r="A316" i="26"/>
  <c r="P313" i="26"/>
  <c r="O313" i="26"/>
  <c r="N313" i="26"/>
  <c r="M313" i="26"/>
  <c r="L313" i="26"/>
  <c r="K313" i="26"/>
  <c r="J313" i="26"/>
  <c r="I313" i="26"/>
  <c r="H313" i="26"/>
  <c r="G313" i="26"/>
  <c r="F313" i="26"/>
  <c r="E313" i="26"/>
  <c r="A313" i="26"/>
  <c r="P312" i="26"/>
  <c r="O312" i="26"/>
  <c r="N312" i="26"/>
  <c r="M312" i="26"/>
  <c r="L312" i="26"/>
  <c r="K312" i="26"/>
  <c r="J312" i="26"/>
  <c r="I312" i="26"/>
  <c r="H312" i="26"/>
  <c r="G312" i="26"/>
  <c r="F312" i="26"/>
  <c r="E312" i="26"/>
  <c r="A312" i="26"/>
  <c r="P310" i="26"/>
  <c r="O310" i="26"/>
  <c r="N310" i="26"/>
  <c r="M310" i="26"/>
  <c r="L310" i="26"/>
  <c r="K310" i="26"/>
  <c r="J310" i="26"/>
  <c r="I310" i="26"/>
  <c r="H310" i="26"/>
  <c r="G310" i="26"/>
  <c r="F310" i="26"/>
  <c r="E310" i="26"/>
  <c r="A310" i="26"/>
  <c r="P309" i="26"/>
  <c r="O309" i="26"/>
  <c r="N309" i="26"/>
  <c r="M309" i="26"/>
  <c r="L309" i="26"/>
  <c r="K309" i="26"/>
  <c r="J309" i="26"/>
  <c r="I309" i="26"/>
  <c r="H309" i="26"/>
  <c r="G309" i="26"/>
  <c r="F309" i="26"/>
  <c r="E309" i="26"/>
  <c r="A309" i="26"/>
  <c r="P308" i="26"/>
  <c r="O308" i="26"/>
  <c r="N308" i="26"/>
  <c r="M308" i="26"/>
  <c r="L308" i="26"/>
  <c r="K308" i="26"/>
  <c r="J308" i="26"/>
  <c r="I308" i="26"/>
  <c r="H308" i="26"/>
  <c r="G308" i="26"/>
  <c r="F308" i="26"/>
  <c r="E308" i="26"/>
  <c r="A308" i="26"/>
  <c r="P307" i="26"/>
  <c r="O307" i="26"/>
  <c r="N307" i="26"/>
  <c r="M307" i="26"/>
  <c r="L307" i="26"/>
  <c r="K307" i="26"/>
  <c r="J307" i="26"/>
  <c r="I307" i="26"/>
  <c r="H307" i="26"/>
  <c r="G307" i="26"/>
  <c r="F307" i="26"/>
  <c r="E307" i="26"/>
  <c r="A307" i="26"/>
  <c r="P306" i="26"/>
  <c r="O306" i="26"/>
  <c r="N306" i="26"/>
  <c r="M306" i="26"/>
  <c r="L306" i="26"/>
  <c r="K306" i="26"/>
  <c r="J306" i="26"/>
  <c r="I306" i="26"/>
  <c r="H306" i="26"/>
  <c r="G306" i="26"/>
  <c r="F306" i="26"/>
  <c r="E306" i="26"/>
  <c r="A306" i="26"/>
  <c r="P305" i="26"/>
  <c r="O305" i="26"/>
  <c r="N305" i="26"/>
  <c r="M305" i="26"/>
  <c r="L305" i="26"/>
  <c r="K305" i="26"/>
  <c r="J305" i="26"/>
  <c r="I305" i="26"/>
  <c r="H305" i="26"/>
  <c r="G305" i="26"/>
  <c r="F305" i="26"/>
  <c r="E305" i="26"/>
  <c r="A305" i="26"/>
  <c r="P304" i="26"/>
  <c r="O304" i="26"/>
  <c r="N304" i="26"/>
  <c r="M304" i="26"/>
  <c r="L304" i="26"/>
  <c r="K304" i="26"/>
  <c r="J304" i="26"/>
  <c r="I304" i="26"/>
  <c r="H304" i="26"/>
  <c r="G304" i="26"/>
  <c r="F304" i="26"/>
  <c r="E304" i="26"/>
  <c r="A304" i="26"/>
  <c r="P303" i="26"/>
  <c r="O303" i="26"/>
  <c r="N303" i="26"/>
  <c r="M303" i="26"/>
  <c r="L303" i="26"/>
  <c r="K303" i="26"/>
  <c r="J303" i="26"/>
  <c r="I303" i="26"/>
  <c r="H303" i="26"/>
  <c r="G303" i="26"/>
  <c r="F303" i="26"/>
  <c r="E303" i="26"/>
  <c r="A303" i="26"/>
  <c r="P302" i="26"/>
  <c r="O302" i="26"/>
  <c r="N302" i="26"/>
  <c r="M302" i="26"/>
  <c r="L302" i="26"/>
  <c r="K302" i="26"/>
  <c r="J302" i="26"/>
  <c r="I302" i="26"/>
  <c r="H302" i="26"/>
  <c r="G302" i="26"/>
  <c r="F302" i="26"/>
  <c r="E302" i="26"/>
  <c r="B302" i="26"/>
  <c r="A302" i="26"/>
  <c r="P301" i="26"/>
  <c r="O301" i="26"/>
  <c r="N301" i="26"/>
  <c r="M301" i="26"/>
  <c r="L301" i="26"/>
  <c r="K301" i="26"/>
  <c r="J301" i="26"/>
  <c r="I301" i="26"/>
  <c r="H301" i="26"/>
  <c r="G301" i="26"/>
  <c r="F301" i="26"/>
  <c r="E301" i="26"/>
  <c r="A301" i="26"/>
  <c r="P300" i="26"/>
  <c r="O300" i="26"/>
  <c r="N300" i="26"/>
  <c r="M300" i="26"/>
  <c r="L300" i="26"/>
  <c r="K300" i="26"/>
  <c r="J300" i="26"/>
  <c r="I300" i="26"/>
  <c r="H300" i="26"/>
  <c r="G300" i="26"/>
  <c r="F300" i="26"/>
  <c r="E300" i="26"/>
  <c r="A300" i="26"/>
  <c r="P299" i="26"/>
  <c r="O299" i="26"/>
  <c r="N299" i="26"/>
  <c r="M299" i="26"/>
  <c r="L299" i="26"/>
  <c r="K299" i="26"/>
  <c r="J299" i="26"/>
  <c r="I299" i="26"/>
  <c r="H299" i="26"/>
  <c r="G299" i="26"/>
  <c r="F299" i="26"/>
  <c r="E299" i="26"/>
  <c r="A299" i="26"/>
  <c r="P298" i="26"/>
  <c r="O298" i="26"/>
  <c r="N298" i="26"/>
  <c r="M298" i="26"/>
  <c r="L298" i="26"/>
  <c r="K298" i="26"/>
  <c r="J298" i="26"/>
  <c r="I298" i="26"/>
  <c r="H298" i="26"/>
  <c r="G298" i="26"/>
  <c r="F298" i="26"/>
  <c r="E298" i="26"/>
  <c r="A298" i="26"/>
  <c r="P297" i="26"/>
  <c r="O297" i="26"/>
  <c r="N297" i="26"/>
  <c r="M297" i="26"/>
  <c r="L297" i="26"/>
  <c r="K297" i="26"/>
  <c r="J297" i="26"/>
  <c r="I297" i="26"/>
  <c r="H297" i="26"/>
  <c r="G297" i="26"/>
  <c r="F297" i="26"/>
  <c r="E297" i="26"/>
  <c r="A297" i="26"/>
  <c r="P296" i="26"/>
  <c r="O296" i="26"/>
  <c r="N296" i="26"/>
  <c r="M296" i="26"/>
  <c r="L296" i="26"/>
  <c r="K296" i="26"/>
  <c r="J296" i="26"/>
  <c r="I296" i="26"/>
  <c r="H296" i="26"/>
  <c r="G296" i="26"/>
  <c r="F296" i="26"/>
  <c r="E296" i="26"/>
  <c r="A296" i="26"/>
  <c r="P295" i="26"/>
  <c r="O295" i="26"/>
  <c r="N295" i="26"/>
  <c r="M295" i="26"/>
  <c r="L295" i="26"/>
  <c r="K295" i="26"/>
  <c r="J295" i="26"/>
  <c r="I295" i="26"/>
  <c r="H295" i="26"/>
  <c r="G295" i="26"/>
  <c r="F295" i="26"/>
  <c r="E295" i="26"/>
  <c r="A295" i="26"/>
  <c r="P294" i="26"/>
  <c r="O294" i="26"/>
  <c r="N294" i="26"/>
  <c r="M294" i="26"/>
  <c r="L294" i="26"/>
  <c r="K294" i="26"/>
  <c r="J294" i="26"/>
  <c r="I294" i="26"/>
  <c r="H294" i="26"/>
  <c r="G294" i="26"/>
  <c r="F294" i="26"/>
  <c r="E294" i="26"/>
  <c r="A294" i="26"/>
  <c r="P293" i="26"/>
  <c r="O293" i="26"/>
  <c r="N293" i="26"/>
  <c r="M293" i="26"/>
  <c r="L293" i="26"/>
  <c r="K293" i="26"/>
  <c r="J293" i="26"/>
  <c r="I293" i="26"/>
  <c r="H293" i="26"/>
  <c r="G293" i="26"/>
  <c r="F293" i="26"/>
  <c r="E293" i="26"/>
  <c r="A293" i="26"/>
  <c r="P292" i="26"/>
  <c r="O292" i="26"/>
  <c r="N292" i="26"/>
  <c r="M292" i="26"/>
  <c r="L292" i="26"/>
  <c r="K292" i="26"/>
  <c r="J292" i="26"/>
  <c r="I292" i="26"/>
  <c r="H292" i="26"/>
  <c r="G292" i="26"/>
  <c r="F292" i="26"/>
  <c r="E292" i="26"/>
  <c r="A292" i="26"/>
  <c r="P291" i="26"/>
  <c r="O291" i="26"/>
  <c r="N291" i="26"/>
  <c r="M291" i="26"/>
  <c r="L291" i="26"/>
  <c r="K291" i="26"/>
  <c r="J291" i="26"/>
  <c r="I291" i="26"/>
  <c r="H291" i="26"/>
  <c r="G291" i="26"/>
  <c r="F291" i="26"/>
  <c r="E291" i="26"/>
  <c r="A291" i="26"/>
  <c r="P288" i="26"/>
  <c r="O288" i="26"/>
  <c r="N288" i="26"/>
  <c r="M288" i="26"/>
  <c r="L288" i="26"/>
  <c r="K288" i="26"/>
  <c r="J288" i="26"/>
  <c r="I288" i="26"/>
  <c r="H288" i="26"/>
  <c r="G288" i="26"/>
  <c r="F288" i="26"/>
  <c r="E288" i="26"/>
  <c r="A288" i="26"/>
  <c r="P287" i="26"/>
  <c r="O287" i="26"/>
  <c r="N287" i="26"/>
  <c r="M287" i="26"/>
  <c r="L287" i="26"/>
  <c r="K287" i="26"/>
  <c r="J287" i="26"/>
  <c r="I287" i="26"/>
  <c r="H287" i="26"/>
  <c r="G287" i="26"/>
  <c r="F287" i="26"/>
  <c r="E287" i="26"/>
  <c r="A287" i="26"/>
  <c r="P286" i="26"/>
  <c r="O286" i="26"/>
  <c r="N286" i="26"/>
  <c r="M286" i="26"/>
  <c r="L286" i="26"/>
  <c r="K286" i="26"/>
  <c r="J286" i="26"/>
  <c r="I286" i="26"/>
  <c r="H286" i="26"/>
  <c r="G286" i="26"/>
  <c r="F286" i="26"/>
  <c r="E286" i="26"/>
  <c r="A286" i="26"/>
  <c r="P285" i="26"/>
  <c r="O285" i="26"/>
  <c r="N285" i="26"/>
  <c r="M285" i="26"/>
  <c r="L285" i="26"/>
  <c r="K285" i="26"/>
  <c r="J285" i="26"/>
  <c r="I285" i="26"/>
  <c r="H285" i="26"/>
  <c r="G285" i="26"/>
  <c r="F285" i="26"/>
  <c r="E285" i="26"/>
  <c r="A285" i="26"/>
  <c r="P282" i="26"/>
  <c r="O282" i="26"/>
  <c r="N282" i="26"/>
  <c r="M282" i="26"/>
  <c r="L282" i="26"/>
  <c r="K282" i="26"/>
  <c r="J282" i="26"/>
  <c r="I282" i="26"/>
  <c r="H282" i="26"/>
  <c r="G282" i="26"/>
  <c r="F282" i="26"/>
  <c r="E282" i="26"/>
  <c r="A282" i="26"/>
  <c r="P281" i="26"/>
  <c r="O281" i="26"/>
  <c r="N281" i="26"/>
  <c r="M281" i="26"/>
  <c r="L281" i="26"/>
  <c r="K281" i="26"/>
  <c r="J281" i="26"/>
  <c r="I281" i="26"/>
  <c r="H281" i="26"/>
  <c r="G281" i="26"/>
  <c r="F281" i="26"/>
  <c r="E281" i="26"/>
  <c r="A281" i="26"/>
  <c r="P280" i="26"/>
  <c r="O280" i="26"/>
  <c r="N280" i="26"/>
  <c r="M280" i="26"/>
  <c r="L280" i="26"/>
  <c r="K280" i="26"/>
  <c r="J280" i="26"/>
  <c r="I280" i="26"/>
  <c r="H280" i="26"/>
  <c r="G280" i="26"/>
  <c r="F280" i="26"/>
  <c r="E280" i="26"/>
  <c r="P278" i="26"/>
  <c r="O278" i="26"/>
  <c r="N278" i="26"/>
  <c r="M278" i="26"/>
  <c r="L278" i="26"/>
  <c r="K278" i="26"/>
  <c r="J278" i="26"/>
  <c r="I278" i="26"/>
  <c r="H278" i="26"/>
  <c r="G278" i="26"/>
  <c r="F278" i="26"/>
  <c r="E278" i="26"/>
  <c r="A278" i="26"/>
  <c r="P277" i="26"/>
  <c r="O277" i="26"/>
  <c r="N277" i="26"/>
  <c r="M277" i="26"/>
  <c r="L277" i="26"/>
  <c r="K277" i="26"/>
  <c r="J277" i="26"/>
  <c r="I277" i="26"/>
  <c r="H277" i="26"/>
  <c r="G277" i="26"/>
  <c r="F277" i="26"/>
  <c r="E277" i="26"/>
  <c r="A277" i="26"/>
  <c r="P276" i="26"/>
  <c r="O276" i="26"/>
  <c r="N276" i="26"/>
  <c r="M276" i="26"/>
  <c r="L276" i="26"/>
  <c r="K276" i="26"/>
  <c r="J276" i="26"/>
  <c r="I276" i="26"/>
  <c r="H276" i="26"/>
  <c r="G276" i="26"/>
  <c r="F276" i="26"/>
  <c r="E276" i="26"/>
  <c r="A276" i="26"/>
  <c r="P275" i="26"/>
  <c r="O275" i="26"/>
  <c r="N275" i="26"/>
  <c r="M275" i="26"/>
  <c r="L275" i="26"/>
  <c r="K275" i="26"/>
  <c r="J275" i="26"/>
  <c r="I275" i="26"/>
  <c r="H275" i="26"/>
  <c r="G275" i="26"/>
  <c r="F275" i="26"/>
  <c r="E275" i="26"/>
  <c r="A275" i="26"/>
  <c r="P274" i="26"/>
  <c r="O274" i="26"/>
  <c r="N274" i="26"/>
  <c r="M274" i="26"/>
  <c r="L274" i="26"/>
  <c r="K274" i="26"/>
  <c r="J274" i="26"/>
  <c r="I274" i="26"/>
  <c r="H274" i="26"/>
  <c r="G274" i="26"/>
  <c r="F274" i="26"/>
  <c r="E274" i="26"/>
  <c r="A274" i="26"/>
  <c r="P273" i="26"/>
  <c r="O273" i="26"/>
  <c r="N273" i="26"/>
  <c r="M273" i="26"/>
  <c r="L273" i="26"/>
  <c r="K273" i="26"/>
  <c r="J273" i="26"/>
  <c r="I273" i="26"/>
  <c r="H273" i="26"/>
  <c r="G273" i="26"/>
  <c r="F273" i="26"/>
  <c r="E273" i="26"/>
  <c r="A273" i="26"/>
  <c r="P272" i="26"/>
  <c r="O272" i="26"/>
  <c r="N272" i="26"/>
  <c r="M272" i="26"/>
  <c r="L272" i="26"/>
  <c r="K272" i="26"/>
  <c r="J272" i="26"/>
  <c r="I272" i="26"/>
  <c r="H272" i="26"/>
  <c r="G272" i="26"/>
  <c r="F272" i="26"/>
  <c r="E272" i="26"/>
  <c r="A272" i="26"/>
  <c r="P271" i="26"/>
  <c r="O271" i="26"/>
  <c r="N271" i="26"/>
  <c r="M271" i="26"/>
  <c r="L271" i="26"/>
  <c r="K271" i="26"/>
  <c r="J271" i="26"/>
  <c r="I271" i="26"/>
  <c r="H271" i="26"/>
  <c r="G271" i="26"/>
  <c r="F271" i="26"/>
  <c r="E271" i="26"/>
  <c r="A271" i="26"/>
  <c r="P270" i="26"/>
  <c r="O270" i="26"/>
  <c r="N270" i="26"/>
  <c r="M270" i="26"/>
  <c r="L270" i="26"/>
  <c r="K270" i="26"/>
  <c r="J270" i="26"/>
  <c r="I270" i="26"/>
  <c r="H270" i="26"/>
  <c r="G270" i="26"/>
  <c r="F270" i="26"/>
  <c r="E270" i="26"/>
  <c r="A270" i="26"/>
  <c r="P269" i="26"/>
  <c r="O269" i="26"/>
  <c r="N269" i="26"/>
  <c r="M269" i="26"/>
  <c r="L269" i="26"/>
  <c r="K269" i="26"/>
  <c r="J269" i="26"/>
  <c r="I269" i="26"/>
  <c r="H269" i="26"/>
  <c r="G269" i="26"/>
  <c r="F269" i="26"/>
  <c r="E269" i="26"/>
  <c r="A269" i="26"/>
  <c r="P266" i="26"/>
  <c r="O266" i="26"/>
  <c r="N266" i="26"/>
  <c r="M266" i="26"/>
  <c r="L266" i="26"/>
  <c r="K266" i="26"/>
  <c r="J266" i="26"/>
  <c r="I266" i="26"/>
  <c r="H266" i="26"/>
  <c r="G266" i="26"/>
  <c r="F266" i="26"/>
  <c r="E266" i="26"/>
  <c r="A266" i="26"/>
  <c r="P265" i="26"/>
  <c r="O265" i="26"/>
  <c r="N265" i="26"/>
  <c r="M265" i="26"/>
  <c r="L265" i="26"/>
  <c r="K265" i="26"/>
  <c r="J265" i="26"/>
  <c r="I265" i="26"/>
  <c r="H265" i="26"/>
  <c r="G265" i="26"/>
  <c r="F265" i="26"/>
  <c r="E265" i="26"/>
  <c r="A265" i="26"/>
  <c r="P264" i="26"/>
  <c r="O264" i="26"/>
  <c r="N264" i="26"/>
  <c r="M264" i="26"/>
  <c r="L264" i="26"/>
  <c r="K264" i="26"/>
  <c r="J264" i="26"/>
  <c r="I264" i="26"/>
  <c r="H264" i="26"/>
  <c r="G264" i="26"/>
  <c r="F264" i="26"/>
  <c r="E264" i="26"/>
  <c r="A264" i="26"/>
  <c r="P263" i="26"/>
  <c r="O263" i="26"/>
  <c r="N263" i="26"/>
  <c r="M263" i="26"/>
  <c r="L263" i="26"/>
  <c r="K263" i="26"/>
  <c r="J263" i="26"/>
  <c r="I263" i="26"/>
  <c r="H263" i="26"/>
  <c r="G263" i="26"/>
  <c r="F263" i="26"/>
  <c r="E263" i="26"/>
  <c r="A263" i="26"/>
  <c r="P262" i="26"/>
  <c r="O262" i="26"/>
  <c r="N262" i="26"/>
  <c r="M262" i="26"/>
  <c r="L262" i="26"/>
  <c r="K262" i="26"/>
  <c r="J262" i="26"/>
  <c r="I262" i="26"/>
  <c r="H262" i="26"/>
  <c r="G262" i="26"/>
  <c r="F262" i="26"/>
  <c r="E262" i="26"/>
  <c r="A262" i="26"/>
  <c r="P261" i="26"/>
  <c r="O261" i="26"/>
  <c r="N261" i="26"/>
  <c r="M261" i="26"/>
  <c r="L261" i="26"/>
  <c r="K261" i="26"/>
  <c r="J261" i="26"/>
  <c r="I261" i="26"/>
  <c r="H261" i="26"/>
  <c r="G261" i="26"/>
  <c r="F261" i="26"/>
  <c r="E261" i="26"/>
  <c r="A261" i="26"/>
  <c r="P260" i="26"/>
  <c r="O260" i="26"/>
  <c r="N260" i="26"/>
  <c r="M260" i="26"/>
  <c r="L260" i="26"/>
  <c r="K260" i="26"/>
  <c r="J260" i="26"/>
  <c r="I260" i="26"/>
  <c r="H260" i="26"/>
  <c r="G260" i="26"/>
  <c r="F260" i="26"/>
  <c r="E260" i="26"/>
  <c r="A260" i="26"/>
  <c r="P257" i="26"/>
  <c r="O257" i="26"/>
  <c r="N257" i="26"/>
  <c r="M257" i="26"/>
  <c r="L257" i="26"/>
  <c r="K257" i="26"/>
  <c r="J257" i="26"/>
  <c r="I257" i="26"/>
  <c r="H257" i="26"/>
  <c r="G257" i="26"/>
  <c r="F257" i="26"/>
  <c r="E257" i="26"/>
  <c r="A257" i="26"/>
  <c r="P256" i="26"/>
  <c r="O256" i="26"/>
  <c r="N256" i="26"/>
  <c r="M256" i="26"/>
  <c r="L256" i="26"/>
  <c r="K256" i="26"/>
  <c r="J256" i="26"/>
  <c r="I256" i="26"/>
  <c r="H256" i="26"/>
  <c r="G256" i="26"/>
  <c r="F256" i="26"/>
  <c r="E256" i="26"/>
  <c r="A256" i="26"/>
  <c r="P255" i="26"/>
  <c r="O255" i="26"/>
  <c r="N255" i="26"/>
  <c r="M255" i="26"/>
  <c r="L255" i="26"/>
  <c r="K255" i="26"/>
  <c r="J255" i="26"/>
  <c r="I255" i="26"/>
  <c r="H255" i="26"/>
  <c r="G255" i="26"/>
  <c r="F255" i="26"/>
  <c r="E255" i="26"/>
  <c r="A255" i="26"/>
  <c r="A254" i="26"/>
  <c r="P252" i="26"/>
  <c r="O252" i="26"/>
  <c r="N252" i="26"/>
  <c r="M252" i="26"/>
  <c r="L252" i="26"/>
  <c r="K252" i="26"/>
  <c r="J252" i="26"/>
  <c r="I252" i="26"/>
  <c r="H252" i="26"/>
  <c r="G252" i="26"/>
  <c r="F252" i="26"/>
  <c r="E252" i="26"/>
  <c r="A252" i="26"/>
  <c r="P251" i="26"/>
  <c r="O251" i="26"/>
  <c r="N251" i="26"/>
  <c r="M251" i="26"/>
  <c r="L251" i="26"/>
  <c r="K251" i="26"/>
  <c r="J251" i="26"/>
  <c r="I251" i="26"/>
  <c r="H251" i="26"/>
  <c r="G251" i="26"/>
  <c r="F251" i="26"/>
  <c r="E251" i="26"/>
  <c r="A251" i="26"/>
  <c r="P250" i="26"/>
  <c r="O250" i="26"/>
  <c r="N250" i="26"/>
  <c r="M250" i="26"/>
  <c r="L250" i="26"/>
  <c r="K250" i="26"/>
  <c r="J250" i="26"/>
  <c r="I250" i="26"/>
  <c r="H250" i="26"/>
  <c r="G250" i="26"/>
  <c r="F250" i="26"/>
  <c r="E250" i="26"/>
  <c r="A250" i="26"/>
  <c r="P249" i="26"/>
  <c r="O249" i="26"/>
  <c r="N249" i="26"/>
  <c r="M249" i="26"/>
  <c r="L249" i="26"/>
  <c r="K249" i="26"/>
  <c r="J249" i="26"/>
  <c r="I249" i="26"/>
  <c r="H249" i="26"/>
  <c r="G249" i="26"/>
  <c r="F249" i="26"/>
  <c r="E249" i="26"/>
  <c r="A249" i="26"/>
  <c r="P248" i="26"/>
  <c r="O248" i="26"/>
  <c r="N248" i="26"/>
  <c r="M248" i="26"/>
  <c r="L248" i="26"/>
  <c r="K248" i="26"/>
  <c r="J248" i="26"/>
  <c r="I248" i="26"/>
  <c r="H248" i="26"/>
  <c r="G248" i="26"/>
  <c r="F248" i="26"/>
  <c r="E248" i="26"/>
  <c r="P246" i="26"/>
  <c r="O246" i="26"/>
  <c r="N246" i="26"/>
  <c r="M246" i="26"/>
  <c r="L246" i="26"/>
  <c r="K246" i="26"/>
  <c r="J246" i="26"/>
  <c r="I246" i="26"/>
  <c r="H246" i="26"/>
  <c r="G246" i="26"/>
  <c r="F246" i="26"/>
  <c r="E246" i="26"/>
  <c r="A246" i="26"/>
  <c r="B244" i="26"/>
  <c r="P242" i="26"/>
  <c r="O242" i="26"/>
  <c r="N242" i="26"/>
  <c r="M242" i="26"/>
  <c r="L242" i="26"/>
  <c r="K242" i="26"/>
  <c r="J242" i="26"/>
  <c r="I242" i="26"/>
  <c r="H242" i="26"/>
  <c r="G242" i="26"/>
  <c r="F242" i="26"/>
  <c r="E242" i="26"/>
  <c r="A242" i="26"/>
  <c r="P241" i="26"/>
  <c r="O241" i="26"/>
  <c r="N241" i="26"/>
  <c r="M241" i="26"/>
  <c r="L241" i="26"/>
  <c r="K241" i="26"/>
  <c r="J241" i="26"/>
  <c r="I241" i="26"/>
  <c r="H241" i="26"/>
  <c r="G241" i="26"/>
  <c r="F241" i="26"/>
  <c r="E241" i="26"/>
  <c r="A241" i="26"/>
  <c r="P240" i="26"/>
  <c r="O240" i="26"/>
  <c r="N240" i="26"/>
  <c r="M240" i="26"/>
  <c r="L240" i="26"/>
  <c r="K240" i="26"/>
  <c r="J240" i="26"/>
  <c r="I240" i="26"/>
  <c r="H240" i="26"/>
  <c r="G240" i="26"/>
  <c r="F240" i="26"/>
  <c r="E240" i="26"/>
  <c r="A240" i="26"/>
  <c r="P237" i="26"/>
  <c r="O237" i="26"/>
  <c r="N237" i="26"/>
  <c r="M237" i="26"/>
  <c r="L237" i="26"/>
  <c r="K237" i="26"/>
  <c r="J237" i="26"/>
  <c r="I237" i="26"/>
  <c r="H237" i="26"/>
  <c r="G237" i="26"/>
  <c r="F237" i="26"/>
  <c r="E237" i="26"/>
  <c r="A237" i="26"/>
  <c r="P236" i="26"/>
  <c r="O236" i="26"/>
  <c r="N236" i="26"/>
  <c r="M236" i="26"/>
  <c r="L236" i="26"/>
  <c r="K236" i="26"/>
  <c r="J236" i="26"/>
  <c r="I236" i="26"/>
  <c r="H236" i="26"/>
  <c r="G236" i="26"/>
  <c r="F236" i="26"/>
  <c r="E236" i="26"/>
  <c r="A236" i="26"/>
  <c r="P234" i="26"/>
  <c r="O234" i="26"/>
  <c r="N234" i="26"/>
  <c r="M234" i="26"/>
  <c r="L234" i="26"/>
  <c r="K234" i="26"/>
  <c r="J234" i="26"/>
  <c r="I234" i="26"/>
  <c r="H234" i="26"/>
  <c r="G234" i="26"/>
  <c r="F234" i="26"/>
  <c r="E234" i="26"/>
  <c r="A234" i="26"/>
  <c r="P233" i="26"/>
  <c r="O233" i="26"/>
  <c r="N233" i="26"/>
  <c r="M233" i="26"/>
  <c r="L233" i="26"/>
  <c r="K233" i="26"/>
  <c r="J233" i="26"/>
  <c r="I233" i="26"/>
  <c r="H233" i="26"/>
  <c r="G233" i="26"/>
  <c r="F233" i="26"/>
  <c r="E233" i="26"/>
  <c r="A233" i="26"/>
  <c r="P232" i="26"/>
  <c r="O232" i="26"/>
  <c r="N232" i="26"/>
  <c r="M232" i="26"/>
  <c r="L232" i="26"/>
  <c r="K232" i="26"/>
  <c r="J232" i="26"/>
  <c r="I232" i="26"/>
  <c r="H232" i="26"/>
  <c r="G232" i="26"/>
  <c r="F232" i="26"/>
  <c r="E232" i="26"/>
  <c r="A232" i="26"/>
  <c r="P231" i="26"/>
  <c r="O231" i="26"/>
  <c r="N231" i="26"/>
  <c r="M231" i="26"/>
  <c r="L231" i="26"/>
  <c r="K231" i="26"/>
  <c r="J231" i="26"/>
  <c r="I231" i="26"/>
  <c r="H231" i="26"/>
  <c r="G231" i="26"/>
  <c r="F231" i="26"/>
  <c r="E231" i="26"/>
  <c r="A231" i="26"/>
  <c r="P230" i="26"/>
  <c r="O230" i="26"/>
  <c r="N230" i="26"/>
  <c r="M230" i="26"/>
  <c r="L230" i="26"/>
  <c r="K230" i="26"/>
  <c r="J230" i="26"/>
  <c r="I230" i="26"/>
  <c r="H230" i="26"/>
  <c r="G230" i="26"/>
  <c r="F230" i="26"/>
  <c r="E230" i="26"/>
  <c r="A230" i="26"/>
  <c r="P229" i="26"/>
  <c r="O229" i="26"/>
  <c r="N229" i="26"/>
  <c r="M229" i="26"/>
  <c r="L229" i="26"/>
  <c r="K229" i="26"/>
  <c r="J229" i="26"/>
  <c r="I229" i="26"/>
  <c r="H229" i="26"/>
  <c r="G229" i="26"/>
  <c r="F229" i="26"/>
  <c r="E229" i="26"/>
  <c r="A229" i="26"/>
  <c r="P228" i="26"/>
  <c r="O228" i="26"/>
  <c r="N228" i="26"/>
  <c r="M228" i="26"/>
  <c r="L228" i="26"/>
  <c r="K228" i="26"/>
  <c r="J228" i="26"/>
  <c r="I228" i="26"/>
  <c r="H228" i="26"/>
  <c r="G228" i="26"/>
  <c r="F228" i="26"/>
  <c r="E228" i="26"/>
  <c r="A228" i="26"/>
  <c r="P227" i="26"/>
  <c r="O227" i="26"/>
  <c r="N227" i="26"/>
  <c r="M227" i="26"/>
  <c r="L227" i="26"/>
  <c r="K227" i="26"/>
  <c r="J227" i="26"/>
  <c r="I227" i="26"/>
  <c r="H227" i="26"/>
  <c r="G227" i="26"/>
  <c r="F227" i="26"/>
  <c r="E227" i="26"/>
  <c r="A227" i="26"/>
  <c r="P226" i="26"/>
  <c r="O226" i="26"/>
  <c r="N226" i="26"/>
  <c r="M226" i="26"/>
  <c r="L226" i="26"/>
  <c r="K226" i="26"/>
  <c r="J226" i="26"/>
  <c r="I226" i="26"/>
  <c r="H226" i="26"/>
  <c r="G226" i="26"/>
  <c r="F226" i="26"/>
  <c r="E226" i="26"/>
  <c r="B226" i="26"/>
  <c r="A226" i="26"/>
  <c r="P225" i="26"/>
  <c r="O225" i="26"/>
  <c r="N225" i="26"/>
  <c r="M225" i="26"/>
  <c r="L225" i="26"/>
  <c r="K225" i="26"/>
  <c r="J225" i="26"/>
  <c r="I225" i="26"/>
  <c r="H225" i="26"/>
  <c r="G225" i="26"/>
  <c r="F225" i="26"/>
  <c r="E225" i="26"/>
  <c r="A225" i="26"/>
  <c r="P224" i="26"/>
  <c r="O224" i="26"/>
  <c r="N224" i="26"/>
  <c r="M224" i="26"/>
  <c r="L224" i="26"/>
  <c r="K224" i="26"/>
  <c r="J224" i="26"/>
  <c r="I224" i="26"/>
  <c r="H224" i="26"/>
  <c r="G224" i="26"/>
  <c r="F224" i="26"/>
  <c r="E224" i="26"/>
  <c r="A224" i="26"/>
  <c r="P223" i="26"/>
  <c r="O223" i="26"/>
  <c r="N223" i="26"/>
  <c r="M223" i="26"/>
  <c r="L223" i="26"/>
  <c r="K223" i="26"/>
  <c r="J223" i="26"/>
  <c r="I223" i="26"/>
  <c r="H223" i="26"/>
  <c r="G223" i="26"/>
  <c r="F223" i="26"/>
  <c r="E223" i="26"/>
  <c r="A223" i="26"/>
  <c r="P222" i="26"/>
  <c r="O222" i="26"/>
  <c r="N222" i="26"/>
  <c r="M222" i="26"/>
  <c r="L222" i="26"/>
  <c r="K222" i="26"/>
  <c r="J222" i="26"/>
  <c r="I222" i="26"/>
  <c r="H222" i="26"/>
  <c r="G222" i="26"/>
  <c r="F222" i="26"/>
  <c r="E222" i="26"/>
  <c r="A222" i="26"/>
  <c r="P221" i="26"/>
  <c r="O221" i="26"/>
  <c r="N221" i="26"/>
  <c r="M221" i="26"/>
  <c r="L221" i="26"/>
  <c r="K221" i="26"/>
  <c r="J221" i="26"/>
  <c r="I221" i="26"/>
  <c r="H221" i="26"/>
  <c r="G221" i="26"/>
  <c r="F221" i="26"/>
  <c r="E221" i="26"/>
  <c r="A221" i="26"/>
  <c r="P220" i="26"/>
  <c r="O220" i="26"/>
  <c r="N220" i="26"/>
  <c r="M220" i="26"/>
  <c r="L220" i="26"/>
  <c r="K220" i="26"/>
  <c r="J220" i="26"/>
  <c r="I220" i="26"/>
  <c r="H220" i="26"/>
  <c r="G220" i="26"/>
  <c r="F220" i="26"/>
  <c r="E220" i="26"/>
  <c r="A220" i="26"/>
  <c r="P219" i="26"/>
  <c r="O219" i="26"/>
  <c r="N219" i="26"/>
  <c r="M219" i="26"/>
  <c r="L219" i="26"/>
  <c r="K219" i="26"/>
  <c r="J219" i="26"/>
  <c r="I219" i="26"/>
  <c r="H219" i="26"/>
  <c r="G219" i="26"/>
  <c r="F219" i="26"/>
  <c r="E219" i="26"/>
  <c r="A219" i="26"/>
  <c r="P218" i="26"/>
  <c r="O218" i="26"/>
  <c r="N218" i="26"/>
  <c r="M218" i="26"/>
  <c r="L218" i="26"/>
  <c r="K218" i="26"/>
  <c r="J218" i="26"/>
  <c r="I218" i="26"/>
  <c r="H218" i="26"/>
  <c r="G218" i="26"/>
  <c r="F218" i="26"/>
  <c r="E218" i="26"/>
  <c r="A218" i="26"/>
  <c r="P217" i="26"/>
  <c r="O217" i="26"/>
  <c r="N217" i="26"/>
  <c r="M217" i="26"/>
  <c r="L217" i="26"/>
  <c r="K217" i="26"/>
  <c r="J217" i="26"/>
  <c r="I217" i="26"/>
  <c r="H217" i="26"/>
  <c r="G217" i="26"/>
  <c r="F217" i="26"/>
  <c r="E217" i="26"/>
  <c r="A217" i="26"/>
  <c r="P216" i="26"/>
  <c r="O216" i="26"/>
  <c r="N216" i="26"/>
  <c r="M216" i="26"/>
  <c r="L216" i="26"/>
  <c r="K216" i="26"/>
  <c r="J216" i="26"/>
  <c r="I216" i="26"/>
  <c r="H216" i="26"/>
  <c r="G216" i="26"/>
  <c r="F216" i="26"/>
  <c r="E216" i="26"/>
  <c r="A216" i="26"/>
  <c r="P215" i="26"/>
  <c r="O215" i="26"/>
  <c r="N215" i="26"/>
  <c r="M215" i="26"/>
  <c r="L215" i="26"/>
  <c r="K215" i="26"/>
  <c r="J215" i="26"/>
  <c r="I215" i="26"/>
  <c r="H215" i="26"/>
  <c r="G215" i="26"/>
  <c r="F215" i="26"/>
  <c r="E215" i="26"/>
  <c r="A215" i="26"/>
  <c r="P212" i="26"/>
  <c r="O212" i="26"/>
  <c r="N212" i="26"/>
  <c r="M212" i="26"/>
  <c r="L212" i="26"/>
  <c r="K212" i="26"/>
  <c r="J212" i="26"/>
  <c r="I212" i="26"/>
  <c r="H212" i="26"/>
  <c r="G212" i="26"/>
  <c r="F212" i="26"/>
  <c r="A212" i="26"/>
  <c r="P211" i="26"/>
  <c r="O211" i="26"/>
  <c r="N211" i="26"/>
  <c r="M211" i="26"/>
  <c r="L211" i="26"/>
  <c r="K211" i="26"/>
  <c r="J211" i="26"/>
  <c r="I211" i="26"/>
  <c r="H211" i="26"/>
  <c r="G211" i="26"/>
  <c r="F211" i="26"/>
  <c r="E211" i="26"/>
  <c r="A211" i="26"/>
  <c r="P210" i="26"/>
  <c r="O210" i="26"/>
  <c r="N210" i="26"/>
  <c r="M210" i="26"/>
  <c r="L210" i="26"/>
  <c r="K210" i="26"/>
  <c r="J210" i="26"/>
  <c r="I210" i="26"/>
  <c r="H210" i="26"/>
  <c r="G210" i="26"/>
  <c r="F210" i="26"/>
  <c r="A210" i="26"/>
  <c r="P209" i="26"/>
  <c r="O209" i="26"/>
  <c r="N209" i="26"/>
  <c r="M209" i="26"/>
  <c r="L209" i="26"/>
  <c r="K209" i="26"/>
  <c r="J209" i="26"/>
  <c r="I209" i="26"/>
  <c r="H209" i="26"/>
  <c r="G209" i="26"/>
  <c r="F209" i="26"/>
  <c r="E209" i="26"/>
  <c r="A209" i="26"/>
  <c r="P206" i="26"/>
  <c r="O206" i="26"/>
  <c r="N206" i="26"/>
  <c r="M206" i="26"/>
  <c r="L206" i="26"/>
  <c r="K206" i="26"/>
  <c r="J206" i="26"/>
  <c r="I206" i="26"/>
  <c r="H206" i="26"/>
  <c r="G206" i="26"/>
  <c r="F206" i="26"/>
  <c r="E206" i="26"/>
  <c r="A206" i="26"/>
  <c r="P205" i="26"/>
  <c r="O205" i="26"/>
  <c r="N205" i="26"/>
  <c r="M205" i="26"/>
  <c r="L205" i="26"/>
  <c r="K205" i="26"/>
  <c r="J205" i="26"/>
  <c r="I205" i="26"/>
  <c r="H205" i="26"/>
  <c r="G205" i="26"/>
  <c r="F205" i="26"/>
  <c r="E205" i="26"/>
  <c r="A205" i="26"/>
  <c r="P204" i="26"/>
  <c r="O204" i="26"/>
  <c r="N204" i="26"/>
  <c r="M204" i="26"/>
  <c r="L204" i="26"/>
  <c r="K204" i="26"/>
  <c r="J204" i="26"/>
  <c r="I204" i="26"/>
  <c r="H204" i="26"/>
  <c r="G204" i="26"/>
  <c r="F204" i="26"/>
  <c r="E204" i="26"/>
  <c r="P202" i="26"/>
  <c r="O202" i="26"/>
  <c r="N202" i="26"/>
  <c r="M202" i="26"/>
  <c r="L202" i="26"/>
  <c r="K202" i="26"/>
  <c r="J202" i="26"/>
  <c r="I202" i="26"/>
  <c r="H202" i="26"/>
  <c r="G202" i="26"/>
  <c r="F202" i="26"/>
  <c r="E202" i="26"/>
  <c r="A202" i="26"/>
  <c r="P201" i="26"/>
  <c r="O201" i="26"/>
  <c r="N201" i="26"/>
  <c r="M201" i="26"/>
  <c r="L201" i="26"/>
  <c r="K201" i="26"/>
  <c r="J201" i="26"/>
  <c r="I201" i="26"/>
  <c r="H201" i="26"/>
  <c r="G201" i="26"/>
  <c r="F201" i="26"/>
  <c r="E201" i="26"/>
  <c r="A201" i="26"/>
  <c r="P200" i="26"/>
  <c r="O200" i="26"/>
  <c r="N200" i="26"/>
  <c r="M200" i="26"/>
  <c r="L200" i="26"/>
  <c r="K200" i="26"/>
  <c r="J200" i="26"/>
  <c r="I200" i="26"/>
  <c r="H200" i="26"/>
  <c r="G200" i="26"/>
  <c r="F200" i="26"/>
  <c r="E200" i="26"/>
  <c r="A200" i="26"/>
  <c r="P199" i="26"/>
  <c r="O199" i="26"/>
  <c r="N199" i="26"/>
  <c r="M199" i="26"/>
  <c r="L199" i="26"/>
  <c r="K199" i="26"/>
  <c r="J199" i="26"/>
  <c r="I199" i="26"/>
  <c r="H199" i="26"/>
  <c r="G199" i="26"/>
  <c r="F199" i="26"/>
  <c r="E199" i="26"/>
  <c r="A199" i="26"/>
  <c r="P198" i="26"/>
  <c r="O198" i="26"/>
  <c r="N198" i="26"/>
  <c r="M198" i="26"/>
  <c r="L198" i="26"/>
  <c r="K198" i="26"/>
  <c r="J198" i="26"/>
  <c r="I198" i="26"/>
  <c r="H198" i="26"/>
  <c r="G198" i="26"/>
  <c r="F198" i="26"/>
  <c r="E198" i="26"/>
  <c r="A198" i="26"/>
  <c r="P197" i="26"/>
  <c r="O197" i="26"/>
  <c r="N197" i="26"/>
  <c r="M197" i="26"/>
  <c r="L197" i="26"/>
  <c r="K197" i="26"/>
  <c r="J197" i="26"/>
  <c r="I197" i="26"/>
  <c r="H197" i="26"/>
  <c r="G197" i="26"/>
  <c r="F197" i="26"/>
  <c r="E197" i="26"/>
  <c r="A197" i="26"/>
  <c r="P196" i="26"/>
  <c r="O196" i="26"/>
  <c r="N196" i="26"/>
  <c r="M196" i="26"/>
  <c r="L196" i="26"/>
  <c r="K196" i="26"/>
  <c r="J196" i="26"/>
  <c r="I196" i="26"/>
  <c r="H196" i="26"/>
  <c r="G196" i="26"/>
  <c r="F196" i="26"/>
  <c r="E196" i="26"/>
  <c r="A196" i="26"/>
  <c r="P195" i="26"/>
  <c r="O195" i="26"/>
  <c r="N195" i="26"/>
  <c r="M195" i="26"/>
  <c r="L195" i="26"/>
  <c r="K195" i="26"/>
  <c r="J195" i="26"/>
  <c r="I195" i="26"/>
  <c r="H195" i="26"/>
  <c r="G195" i="26"/>
  <c r="F195" i="26"/>
  <c r="E195" i="26"/>
  <c r="A195" i="26"/>
  <c r="P194" i="26"/>
  <c r="O194" i="26"/>
  <c r="N194" i="26"/>
  <c r="M194" i="26"/>
  <c r="L194" i="26"/>
  <c r="K194" i="26"/>
  <c r="J194" i="26"/>
  <c r="I194" i="26"/>
  <c r="H194" i="26"/>
  <c r="G194" i="26"/>
  <c r="F194" i="26"/>
  <c r="E194" i="26"/>
  <c r="A194" i="26"/>
  <c r="P193" i="26"/>
  <c r="O193" i="26"/>
  <c r="N193" i="26"/>
  <c r="M193" i="26"/>
  <c r="L193" i="26"/>
  <c r="K193" i="26"/>
  <c r="J193" i="26"/>
  <c r="I193" i="26"/>
  <c r="H193" i="26"/>
  <c r="G193" i="26"/>
  <c r="F193" i="26"/>
  <c r="E193" i="26"/>
  <c r="A193" i="26"/>
  <c r="P190" i="26"/>
  <c r="O190" i="26"/>
  <c r="N190" i="26"/>
  <c r="M190" i="26"/>
  <c r="L190" i="26"/>
  <c r="K190" i="26"/>
  <c r="J190" i="26"/>
  <c r="I190" i="26"/>
  <c r="H190" i="26"/>
  <c r="G190" i="26"/>
  <c r="F190" i="26"/>
  <c r="E190" i="26"/>
  <c r="A190" i="26"/>
  <c r="P189" i="26"/>
  <c r="O189" i="26"/>
  <c r="N189" i="26"/>
  <c r="M189" i="26"/>
  <c r="L189" i="26"/>
  <c r="K189" i="26"/>
  <c r="J189" i="26"/>
  <c r="I189" i="26"/>
  <c r="H189" i="26"/>
  <c r="G189" i="26"/>
  <c r="F189" i="26"/>
  <c r="E189" i="26"/>
  <c r="A189" i="26"/>
  <c r="P188" i="26"/>
  <c r="O188" i="26"/>
  <c r="N188" i="26"/>
  <c r="M188" i="26"/>
  <c r="L188" i="26"/>
  <c r="K188" i="26"/>
  <c r="J188" i="26"/>
  <c r="I188" i="26"/>
  <c r="H188" i="26"/>
  <c r="G188" i="26"/>
  <c r="F188" i="26"/>
  <c r="E188" i="26"/>
  <c r="A188" i="26"/>
  <c r="P187" i="26"/>
  <c r="O187" i="26"/>
  <c r="N187" i="26"/>
  <c r="M187" i="26"/>
  <c r="L187" i="26"/>
  <c r="K187" i="26"/>
  <c r="J187" i="26"/>
  <c r="I187" i="26"/>
  <c r="H187" i="26"/>
  <c r="G187" i="26"/>
  <c r="F187" i="26"/>
  <c r="E187" i="26"/>
  <c r="A187" i="26"/>
  <c r="E186" i="26"/>
  <c r="A186" i="26"/>
  <c r="E185" i="26"/>
  <c r="A185" i="26"/>
  <c r="E184" i="26"/>
  <c r="A184" i="26"/>
  <c r="P181" i="26"/>
  <c r="O181" i="26"/>
  <c r="N181" i="26"/>
  <c r="M181" i="26"/>
  <c r="L181" i="26"/>
  <c r="K181" i="26"/>
  <c r="J181" i="26"/>
  <c r="I181" i="26"/>
  <c r="H181" i="26"/>
  <c r="G181" i="26"/>
  <c r="F181" i="26"/>
  <c r="E181" i="26"/>
  <c r="A181" i="26"/>
  <c r="P180" i="26"/>
  <c r="O180" i="26"/>
  <c r="N180" i="26"/>
  <c r="M180" i="26"/>
  <c r="L180" i="26"/>
  <c r="K180" i="26"/>
  <c r="J180" i="26"/>
  <c r="I180" i="26"/>
  <c r="H180" i="26"/>
  <c r="G180" i="26"/>
  <c r="F180" i="26"/>
  <c r="E180" i="26"/>
  <c r="A180" i="26"/>
  <c r="P179" i="26"/>
  <c r="O179" i="26"/>
  <c r="N179" i="26"/>
  <c r="M179" i="26"/>
  <c r="L179" i="26"/>
  <c r="K179" i="26"/>
  <c r="J179" i="26"/>
  <c r="I179" i="26"/>
  <c r="H179" i="26"/>
  <c r="G179" i="26"/>
  <c r="F179" i="26"/>
  <c r="E179" i="26"/>
  <c r="A179" i="26"/>
  <c r="P176" i="26"/>
  <c r="O176" i="26"/>
  <c r="N176" i="26"/>
  <c r="M176" i="26"/>
  <c r="L176" i="26"/>
  <c r="K176" i="26"/>
  <c r="J176" i="26"/>
  <c r="I176" i="26"/>
  <c r="H176" i="26"/>
  <c r="G176" i="26"/>
  <c r="F176" i="26"/>
  <c r="E176" i="26"/>
  <c r="A176" i="26"/>
  <c r="P175" i="26"/>
  <c r="O175" i="26"/>
  <c r="N175" i="26"/>
  <c r="M175" i="26"/>
  <c r="L175" i="26"/>
  <c r="K175" i="26"/>
  <c r="J175" i="26"/>
  <c r="I175" i="26"/>
  <c r="H175" i="26"/>
  <c r="G175" i="26"/>
  <c r="F175" i="26"/>
  <c r="E175" i="26"/>
  <c r="A175" i="26"/>
  <c r="P174" i="26"/>
  <c r="O174" i="26"/>
  <c r="N174" i="26"/>
  <c r="M174" i="26"/>
  <c r="L174" i="26"/>
  <c r="K174" i="26"/>
  <c r="J174" i="26"/>
  <c r="I174" i="26"/>
  <c r="H174" i="26"/>
  <c r="G174" i="26"/>
  <c r="F174" i="26"/>
  <c r="E174" i="26"/>
  <c r="A174" i="26"/>
  <c r="P173" i="26"/>
  <c r="O173" i="26"/>
  <c r="N173" i="26"/>
  <c r="M173" i="26"/>
  <c r="L173" i="26"/>
  <c r="K173" i="26"/>
  <c r="J173" i="26"/>
  <c r="I173" i="26"/>
  <c r="H173" i="26"/>
  <c r="G173" i="26"/>
  <c r="F173" i="26"/>
  <c r="E173" i="26"/>
  <c r="A173" i="26"/>
  <c r="P172" i="26"/>
  <c r="O172" i="26"/>
  <c r="N172" i="26"/>
  <c r="M172" i="26"/>
  <c r="L172" i="26"/>
  <c r="K172" i="26"/>
  <c r="J172" i="26"/>
  <c r="I172" i="26"/>
  <c r="H172" i="26"/>
  <c r="G172" i="26"/>
  <c r="F172" i="26"/>
  <c r="E172" i="26"/>
  <c r="P170" i="26"/>
  <c r="O170" i="26"/>
  <c r="N170" i="26"/>
  <c r="M170" i="26"/>
  <c r="L170" i="26"/>
  <c r="K170" i="26"/>
  <c r="J170" i="26"/>
  <c r="I170" i="26"/>
  <c r="H170" i="26"/>
  <c r="G170" i="26"/>
  <c r="F170" i="26"/>
  <c r="E170" i="26"/>
  <c r="A170" i="26"/>
  <c r="B168" i="26"/>
  <c r="P166" i="26"/>
  <c r="O166" i="26"/>
  <c r="N166" i="26"/>
  <c r="M166" i="26"/>
  <c r="L166" i="26"/>
  <c r="K166" i="26"/>
  <c r="J166" i="26"/>
  <c r="I166" i="26"/>
  <c r="H166" i="26"/>
  <c r="G166" i="26"/>
  <c r="F166" i="26"/>
  <c r="E166" i="26"/>
  <c r="A166" i="26"/>
  <c r="P165" i="26"/>
  <c r="O165" i="26"/>
  <c r="N165" i="26"/>
  <c r="M165" i="26"/>
  <c r="L165" i="26"/>
  <c r="K165" i="26"/>
  <c r="J165" i="26"/>
  <c r="I165" i="26"/>
  <c r="H165" i="26"/>
  <c r="G165" i="26"/>
  <c r="F165" i="26"/>
  <c r="E165" i="26"/>
  <c r="A165" i="26"/>
  <c r="P164" i="26"/>
  <c r="O164" i="26"/>
  <c r="N164" i="26"/>
  <c r="M164" i="26"/>
  <c r="L164" i="26"/>
  <c r="K164" i="26"/>
  <c r="J164" i="26"/>
  <c r="I164" i="26"/>
  <c r="H164" i="26"/>
  <c r="G164" i="26"/>
  <c r="F164" i="26"/>
  <c r="E164" i="26"/>
  <c r="A164" i="26"/>
  <c r="P161" i="26"/>
  <c r="O161" i="26"/>
  <c r="N161" i="26"/>
  <c r="M161" i="26"/>
  <c r="L161" i="26"/>
  <c r="K161" i="26"/>
  <c r="J161" i="26"/>
  <c r="I161" i="26"/>
  <c r="H161" i="26"/>
  <c r="G161" i="26"/>
  <c r="F161" i="26"/>
  <c r="E161" i="26"/>
  <c r="A161" i="26"/>
  <c r="P160" i="26"/>
  <c r="O160" i="26"/>
  <c r="N160" i="26"/>
  <c r="M160" i="26"/>
  <c r="L160" i="26"/>
  <c r="K160" i="26"/>
  <c r="J160" i="26"/>
  <c r="I160" i="26"/>
  <c r="H160" i="26"/>
  <c r="G160" i="26"/>
  <c r="F160" i="26"/>
  <c r="E160" i="26"/>
  <c r="A160" i="26"/>
  <c r="P158" i="26"/>
  <c r="O158" i="26"/>
  <c r="N158" i="26"/>
  <c r="M158" i="26"/>
  <c r="L158" i="26"/>
  <c r="K158" i="26"/>
  <c r="J158" i="26"/>
  <c r="I158" i="26"/>
  <c r="H158" i="26"/>
  <c r="G158" i="26"/>
  <c r="F158" i="26"/>
  <c r="E158" i="26"/>
  <c r="A158" i="26"/>
  <c r="P157" i="26"/>
  <c r="O157" i="26"/>
  <c r="N157" i="26"/>
  <c r="M157" i="26"/>
  <c r="L157" i="26"/>
  <c r="K157" i="26"/>
  <c r="J157" i="26"/>
  <c r="I157" i="26"/>
  <c r="H157" i="26"/>
  <c r="G157" i="26"/>
  <c r="F157" i="26"/>
  <c r="E157" i="26"/>
  <c r="A157" i="26"/>
  <c r="P156" i="26"/>
  <c r="O156" i="26"/>
  <c r="N156" i="26"/>
  <c r="M156" i="26"/>
  <c r="L156" i="26"/>
  <c r="K156" i="26"/>
  <c r="J156" i="26"/>
  <c r="I156" i="26"/>
  <c r="H156" i="26"/>
  <c r="G156" i="26"/>
  <c r="F156" i="26"/>
  <c r="E156" i="26"/>
  <c r="A156" i="26"/>
  <c r="P155" i="26"/>
  <c r="O155" i="26"/>
  <c r="N155" i="26"/>
  <c r="M155" i="26"/>
  <c r="L155" i="26"/>
  <c r="K155" i="26"/>
  <c r="J155" i="26"/>
  <c r="I155" i="26"/>
  <c r="H155" i="26"/>
  <c r="G155" i="26"/>
  <c r="F155" i="26"/>
  <c r="E155" i="26"/>
  <c r="A155" i="26"/>
  <c r="P154" i="26"/>
  <c r="O154" i="26"/>
  <c r="N154" i="26"/>
  <c r="M154" i="26"/>
  <c r="L154" i="26"/>
  <c r="K154" i="26"/>
  <c r="J154" i="26"/>
  <c r="I154" i="26"/>
  <c r="H154" i="26"/>
  <c r="G154" i="26"/>
  <c r="F154" i="26"/>
  <c r="E154" i="26"/>
  <c r="A154" i="26"/>
  <c r="P153" i="26"/>
  <c r="O153" i="26"/>
  <c r="N153" i="26"/>
  <c r="M153" i="26"/>
  <c r="L153" i="26"/>
  <c r="K153" i="26"/>
  <c r="J153" i="26"/>
  <c r="I153" i="26"/>
  <c r="H153" i="26"/>
  <c r="G153" i="26"/>
  <c r="F153" i="26"/>
  <c r="E153" i="26"/>
  <c r="A153" i="26"/>
  <c r="P152" i="26"/>
  <c r="O152" i="26"/>
  <c r="N152" i="26"/>
  <c r="M152" i="26"/>
  <c r="L152" i="26"/>
  <c r="K152" i="26"/>
  <c r="J152" i="26"/>
  <c r="I152" i="26"/>
  <c r="H152" i="26"/>
  <c r="G152" i="26"/>
  <c r="F152" i="26"/>
  <c r="E152" i="26"/>
  <c r="A152" i="26"/>
  <c r="P151" i="26"/>
  <c r="O151" i="26"/>
  <c r="N151" i="26"/>
  <c r="M151" i="26"/>
  <c r="L151" i="26"/>
  <c r="K151" i="26"/>
  <c r="J151" i="26"/>
  <c r="I151" i="26"/>
  <c r="H151" i="26"/>
  <c r="G151" i="26"/>
  <c r="F151" i="26"/>
  <c r="E151" i="26"/>
  <c r="A151" i="26"/>
  <c r="P150" i="26"/>
  <c r="O150" i="26"/>
  <c r="N150" i="26"/>
  <c r="M150" i="26"/>
  <c r="L150" i="26"/>
  <c r="K150" i="26"/>
  <c r="J150" i="26"/>
  <c r="I150" i="26"/>
  <c r="H150" i="26"/>
  <c r="G150" i="26"/>
  <c r="F150" i="26"/>
  <c r="E150" i="26"/>
  <c r="B150" i="26"/>
  <c r="A150" i="26"/>
  <c r="P149" i="26"/>
  <c r="O149" i="26"/>
  <c r="N149" i="26"/>
  <c r="M149" i="26"/>
  <c r="L149" i="26"/>
  <c r="K149" i="26"/>
  <c r="J149" i="26"/>
  <c r="I149" i="26"/>
  <c r="H149" i="26"/>
  <c r="G149" i="26"/>
  <c r="F149" i="26"/>
  <c r="E149" i="26"/>
  <c r="A149" i="26"/>
  <c r="P148" i="26"/>
  <c r="O148" i="26"/>
  <c r="N148" i="26"/>
  <c r="M148" i="26"/>
  <c r="L148" i="26"/>
  <c r="K148" i="26"/>
  <c r="J148" i="26"/>
  <c r="I148" i="26"/>
  <c r="H148" i="26"/>
  <c r="G148" i="26"/>
  <c r="F148" i="26"/>
  <c r="E148" i="26"/>
  <c r="A148" i="26"/>
  <c r="P147" i="26"/>
  <c r="O147" i="26"/>
  <c r="N147" i="26"/>
  <c r="M147" i="26"/>
  <c r="L147" i="26"/>
  <c r="K147" i="26"/>
  <c r="J147" i="26"/>
  <c r="I147" i="26"/>
  <c r="H147" i="26"/>
  <c r="G147" i="26"/>
  <c r="F147" i="26"/>
  <c r="E147" i="26"/>
  <c r="A147" i="26"/>
  <c r="P146" i="26"/>
  <c r="O146" i="26"/>
  <c r="N146" i="26"/>
  <c r="M146" i="26"/>
  <c r="L146" i="26"/>
  <c r="K146" i="26"/>
  <c r="J146" i="26"/>
  <c r="I146" i="26"/>
  <c r="H146" i="26"/>
  <c r="G146" i="26"/>
  <c r="F146" i="26"/>
  <c r="E146" i="26"/>
  <c r="A146" i="26"/>
  <c r="P145" i="26"/>
  <c r="O145" i="26"/>
  <c r="N145" i="26"/>
  <c r="M145" i="26"/>
  <c r="L145" i="26"/>
  <c r="K145" i="26"/>
  <c r="J145" i="26"/>
  <c r="I145" i="26"/>
  <c r="H145" i="26"/>
  <c r="G145" i="26"/>
  <c r="F145" i="26"/>
  <c r="E145" i="26"/>
  <c r="A145" i="26"/>
  <c r="P144" i="26"/>
  <c r="O144" i="26"/>
  <c r="N144" i="26"/>
  <c r="M144" i="26"/>
  <c r="L144" i="26"/>
  <c r="K144" i="26"/>
  <c r="J144" i="26"/>
  <c r="I144" i="26"/>
  <c r="H144" i="26"/>
  <c r="G144" i="26"/>
  <c r="F144" i="26"/>
  <c r="E144" i="26"/>
  <c r="A144" i="26"/>
  <c r="P143" i="26"/>
  <c r="O143" i="26"/>
  <c r="N143" i="26"/>
  <c r="M143" i="26"/>
  <c r="L143" i="26"/>
  <c r="K143" i="26"/>
  <c r="J143" i="26"/>
  <c r="I143" i="26"/>
  <c r="H143" i="26"/>
  <c r="G143" i="26"/>
  <c r="F143" i="26"/>
  <c r="E143" i="26"/>
  <c r="A143" i="26"/>
  <c r="P142" i="26"/>
  <c r="O142" i="26"/>
  <c r="N142" i="26"/>
  <c r="M142" i="26"/>
  <c r="L142" i="26"/>
  <c r="K142" i="26"/>
  <c r="J142" i="26"/>
  <c r="I142" i="26"/>
  <c r="H142" i="26"/>
  <c r="G142" i="26"/>
  <c r="F142" i="26"/>
  <c r="E142" i="26"/>
  <c r="A142" i="26"/>
  <c r="P141" i="26"/>
  <c r="O141" i="26"/>
  <c r="N141" i="26"/>
  <c r="M141" i="26"/>
  <c r="L141" i="26"/>
  <c r="K141" i="26"/>
  <c r="J141" i="26"/>
  <c r="I141" i="26"/>
  <c r="H141" i="26"/>
  <c r="G141" i="26"/>
  <c r="F141" i="26"/>
  <c r="E141" i="26"/>
  <c r="A141" i="26"/>
  <c r="P140" i="26"/>
  <c r="O140" i="26"/>
  <c r="N140" i="26"/>
  <c r="M140" i="26"/>
  <c r="L140" i="26"/>
  <c r="K140" i="26"/>
  <c r="J140" i="26"/>
  <c r="I140" i="26"/>
  <c r="H140" i="26"/>
  <c r="G140" i="26"/>
  <c r="F140" i="26"/>
  <c r="E140" i="26"/>
  <c r="A140" i="26"/>
  <c r="P139" i="26"/>
  <c r="O139" i="26"/>
  <c r="N139" i="26"/>
  <c r="M139" i="26"/>
  <c r="L139" i="26"/>
  <c r="K139" i="26"/>
  <c r="J139" i="26"/>
  <c r="I139" i="26"/>
  <c r="H139" i="26"/>
  <c r="G139" i="26"/>
  <c r="F139" i="26"/>
  <c r="E139" i="26"/>
  <c r="A139" i="26"/>
  <c r="P136" i="26"/>
  <c r="O136" i="26"/>
  <c r="N136" i="26"/>
  <c r="M136" i="26"/>
  <c r="L136" i="26"/>
  <c r="K136" i="26"/>
  <c r="J136" i="26"/>
  <c r="I136" i="26"/>
  <c r="H136" i="26"/>
  <c r="G136" i="26"/>
  <c r="F136" i="26"/>
  <c r="A136" i="26"/>
  <c r="P135" i="26"/>
  <c r="O135" i="26"/>
  <c r="N135" i="26"/>
  <c r="M135" i="26"/>
  <c r="L135" i="26"/>
  <c r="K135" i="26"/>
  <c r="J135" i="26"/>
  <c r="I135" i="26"/>
  <c r="H135" i="26"/>
  <c r="G135" i="26"/>
  <c r="F135" i="26"/>
  <c r="E135" i="26"/>
  <c r="A135" i="26"/>
  <c r="P134" i="26"/>
  <c r="O134" i="26"/>
  <c r="N134" i="26"/>
  <c r="M134" i="26"/>
  <c r="L134" i="26"/>
  <c r="K134" i="26"/>
  <c r="J134" i="26"/>
  <c r="I134" i="26"/>
  <c r="H134" i="26"/>
  <c r="G134" i="26"/>
  <c r="F134" i="26"/>
  <c r="A134" i="26"/>
  <c r="P133" i="26"/>
  <c r="O133" i="26"/>
  <c r="N133" i="26"/>
  <c r="M133" i="26"/>
  <c r="L133" i="26"/>
  <c r="K133" i="26"/>
  <c r="J133" i="26"/>
  <c r="I133" i="26"/>
  <c r="H133" i="26"/>
  <c r="G133" i="26"/>
  <c r="F133" i="26"/>
  <c r="E133" i="26"/>
  <c r="A133" i="26"/>
  <c r="P130" i="26"/>
  <c r="O130" i="26"/>
  <c r="N130" i="26"/>
  <c r="M130" i="26"/>
  <c r="L130" i="26"/>
  <c r="K130" i="26"/>
  <c r="J130" i="26"/>
  <c r="I130" i="26"/>
  <c r="H130" i="26"/>
  <c r="G130" i="26"/>
  <c r="F130" i="26"/>
  <c r="E130" i="26"/>
  <c r="A130" i="26"/>
  <c r="P129" i="26"/>
  <c r="O129" i="26"/>
  <c r="N129" i="26"/>
  <c r="M129" i="26"/>
  <c r="L129" i="26"/>
  <c r="K129" i="26"/>
  <c r="J129" i="26"/>
  <c r="I129" i="26"/>
  <c r="H129" i="26"/>
  <c r="G129" i="26"/>
  <c r="F129" i="26"/>
  <c r="E129" i="26"/>
  <c r="A129" i="26"/>
  <c r="P128" i="26"/>
  <c r="O128" i="26"/>
  <c r="N128" i="26"/>
  <c r="M128" i="26"/>
  <c r="L128" i="26"/>
  <c r="K128" i="26"/>
  <c r="J128" i="26"/>
  <c r="I128" i="26"/>
  <c r="H128" i="26"/>
  <c r="G128" i="26"/>
  <c r="F128" i="26"/>
  <c r="E128" i="26"/>
  <c r="P126" i="26"/>
  <c r="O126" i="26"/>
  <c r="N126" i="26"/>
  <c r="M126" i="26"/>
  <c r="L126" i="26"/>
  <c r="K126" i="26"/>
  <c r="J126" i="26"/>
  <c r="I126" i="26"/>
  <c r="H126" i="26"/>
  <c r="G126" i="26"/>
  <c r="F126" i="26"/>
  <c r="E126" i="26"/>
  <c r="A126" i="26"/>
  <c r="P125" i="26"/>
  <c r="O125" i="26"/>
  <c r="N125" i="26"/>
  <c r="M125" i="26"/>
  <c r="L125" i="26"/>
  <c r="K125" i="26"/>
  <c r="J125" i="26"/>
  <c r="I125" i="26"/>
  <c r="H125" i="26"/>
  <c r="G125" i="26"/>
  <c r="F125" i="26"/>
  <c r="E125" i="26"/>
  <c r="A125" i="26"/>
  <c r="P124" i="26"/>
  <c r="O124" i="26"/>
  <c r="N124" i="26"/>
  <c r="M124" i="26"/>
  <c r="L124" i="26"/>
  <c r="K124" i="26"/>
  <c r="J124" i="26"/>
  <c r="I124" i="26"/>
  <c r="H124" i="26"/>
  <c r="G124" i="26"/>
  <c r="F124" i="26"/>
  <c r="E124" i="26"/>
  <c r="A124" i="26"/>
  <c r="P123" i="26"/>
  <c r="O123" i="26"/>
  <c r="N123" i="26"/>
  <c r="M123" i="26"/>
  <c r="L123" i="26"/>
  <c r="K123" i="26"/>
  <c r="J123" i="26"/>
  <c r="I123" i="26"/>
  <c r="H123" i="26"/>
  <c r="G123" i="26"/>
  <c r="F123" i="26"/>
  <c r="E123" i="26"/>
  <c r="A123" i="26"/>
  <c r="P122" i="26"/>
  <c r="O122" i="26"/>
  <c r="N122" i="26"/>
  <c r="M122" i="26"/>
  <c r="L122" i="26"/>
  <c r="K122" i="26"/>
  <c r="J122" i="26"/>
  <c r="I122" i="26"/>
  <c r="H122" i="26"/>
  <c r="G122" i="26"/>
  <c r="F122" i="26"/>
  <c r="E122" i="26"/>
  <c r="A122" i="26"/>
  <c r="P121" i="26"/>
  <c r="O121" i="26"/>
  <c r="N121" i="26"/>
  <c r="M121" i="26"/>
  <c r="L121" i="26"/>
  <c r="K121" i="26"/>
  <c r="J121" i="26"/>
  <c r="I121" i="26"/>
  <c r="H121" i="26"/>
  <c r="G121" i="26"/>
  <c r="F121" i="26"/>
  <c r="E121" i="26"/>
  <c r="A121" i="26"/>
  <c r="P120" i="26"/>
  <c r="O120" i="26"/>
  <c r="N120" i="26"/>
  <c r="M120" i="26"/>
  <c r="L120" i="26"/>
  <c r="K120" i="26"/>
  <c r="J120" i="26"/>
  <c r="I120" i="26"/>
  <c r="H120" i="26"/>
  <c r="G120" i="26"/>
  <c r="F120" i="26"/>
  <c r="E120" i="26"/>
  <c r="A120" i="26"/>
  <c r="P119" i="26"/>
  <c r="O119" i="26"/>
  <c r="N119" i="26"/>
  <c r="M119" i="26"/>
  <c r="L119" i="26"/>
  <c r="K119" i="26"/>
  <c r="J119" i="26"/>
  <c r="I119" i="26"/>
  <c r="H119" i="26"/>
  <c r="G119" i="26"/>
  <c r="F119" i="26"/>
  <c r="E119" i="26"/>
  <c r="A119" i="26"/>
  <c r="P118" i="26"/>
  <c r="O118" i="26"/>
  <c r="N118" i="26"/>
  <c r="M118" i="26"/>
  <c r="L118" i="26"/>
  <c r="K118" i="26"/>
  <c r="J118" i="26"/>
  <c r="I118" i="26"/>
  <c r="H118" i="26"/>
  <c r="G118" i="26"/>
  <c r="F118" i="26"/>
  <c r="E118" i="26"/>
  <c r="A118" i="26"/>
  <c r="P117" i="26"/>
  <c r="O117" i="26"/>
  <c r="N117" i="26"/>
  <c r="M117" i="26"/>
  <c r="L117" i="26"/>
  <c r="K117" i="26"/>
  <c r="J117" i="26"/>
  <c r="I117" i="26"/>
  <c r="H117" i="26"/>
  <c r="G117" i="26"/>
  <c r="F117" i="26"/>
  <c r="E117" i="26"/>
  <c r="A117" i="26"/>
  <c r="P114" i="26"/>
  <c r="O114" i="26"/>
  <c r="N114" i="26"/>
  <c r="M114" i="26"/>
  <c r="L114" i="26"/>
  <c r="K114" i="26"/>
  <c r="J114" i="26"/>
  <c r="I114" i="26"/>
  <c r="H114" i="26"/>
  <c r="G114" i="26"/>
  <c r="F114" i="26"/>
  <c r="E114" i="26"/>
  <c r="A114" i="26"/>
  <c r="P113" i="26"/>
  <c r="O113" i="26"/>
  <c r="N113" i="26"/>
  <c r="M113" i="26"/>
  <c r="L113" i="26"/>
  <c r="K113" i="26"/>
  <c r="J113" i="26"/>
  <c r="I113" i="26"/>
  <c r="H113" i="26"/>
  <c r="G113" i="26"/>
  <c r="F113" i="26"/>
  <c r="E113" i="26"/>
  <c r="A113" i="26"/>
  <c r="P112" i="26"/>
  <c r="O112" i="26"/>
  <c r="N112" i="26"/>
  <c r="M112" i="26"/>
  <c r="L112" i="26"/>
  <c r="K112" i="26"/>
  <c r="J112" i="26"/>
  <c r="I112" i="26"/>
  <c r="H112" i="26"/>
  <c r="G112" i="26"/>
  <c r="F112" i="26"/>
  <c r="E112" i="26"/>
  <c r="A112" i="26"/>
  <c r="P111" i="26"/>
  <c r="O111" i="26"/>
  <c r="N111" i="26"/>
  <c r="M111" i="26"/>
  <c r="L111" i="26"/>
  <c r="K111" i="26"/>
  <c r="J111" i="26"/>
  <c r="I111" i="26"/>
  <c r="H111" i="26"/>
  <c r="G111" i="26"/>
  <c r="F111" i="26"/>
  <c r="E111" i="26"/>
  <c r="A111" i="26"/>
  <c r="P110" i="26"/>
  <c r="O110" i="26"/>
  <c r="N110" i="26"/>
  <c r="M110" i="26"/>
  <c r="L110" i="26"/>
  <c r="K110" i="26"/>
  <c r="J110" i="26"/>
  <c r="I110" i="26"/>
  <c r="H110" i="26"/>
  <c r="G110" i="26"/>
  <c r="F110" i="26"/>
  <c r="E110" i="26"/>
  <c r="A110" i="26"/>
  <c r="P109" i="26"/>
  <c r="O109" i="26"/>
  <c r="N109" i="26"/>
  <c r="M109" i="26"/>
  <c r="L109" i="26"/>
  <c r="K109" i="26"/>
  <c r="J109" i="26"/>
  <c r="I109" i="26"/>
  <c r="H109" i="26"/>
  <c r="G109" i="26"/>
  <c r="F109" i="26"/>
  <c r="E109" i="26"/>
  <c r="A109" i="26"/>
  <c r="P108" i="26"/>
  <c r="O108" i="26"/>
  <c r="N108" i="26"/>
  <c r="M108" i="26"/>
  <c r="L108" i="26"/>
  <c r="K108" i="26"/>
  <c r="J108" i="26"/>
  <c r="I108" i="26"/>
  <c r="H108" i="26"/>
  <c r="G108" i="26"/>
  <c r="F108" i="26"/>
  <c r="E108" i="26"/>
  <c r="A108" i="26"/>
  <c r="P105" i="26"/>
  <c r="O105" i="26"/>
  <c r="N105" i="26"/>
  <c r="M105" i="26"/>
  <c r="L105" i="26"/>
  <c r="K105" i="26"/>
  <c r="J105" i="26"/>
  <c r="I105" i="26"/>
  <c r="H105" i="26"/>
  <c r="G105" i="26"/>
  <c r="F105" i="26"/>
  <c r="E105" i="26"/>
  <c r="P104" i="26"/>
  <c r="O104" i="26"/>
  <c r="N104" i="26"/>
  <c r="M104" i="26"/>
  <c r="L104" i="26"/>
  <c r="K104" i="26"/>
  <c r="J104" i="26"/>
  <c r="I104" i="26"/>
  <c r="H104" i="26"/>
  <c r="G104" i="26"/>
  <c r="F104" i="26"/>
  <c r="E104" i="26"/>
  <c r="P103" i="26"/>
  <c r="O103" i="26"/>
  <c r="N103" i="26"/>
  <c r="M103" i="26"/>
  <c r="L103" i="26"/>
  <c r="K103" i="26"/>
  <c r="J103" i="26"/>
  <c r="I103" i="26"/>
  <c r="H103" i="26"/>
  <c r="G103" i="26"/>
  <c r="F103" i="26"/>
  <c r="E103" i="26"/>
  <c r="P100" i="26"/>
  <c r="O100" i="26"/>
  <c r="N100" i="26"/>
  <c r="M100" i="26"/>
  <c r="L100" i="26"/>
  <c r="K100" i="26"/>
  <c r="J100" i="26"/>
  <c r="I100" i="26"/>
  <c r="H100" i="26"/>
  <c r="G100" i="26"/>
  <c r="F100" i="26"/>
  <c r="E100" i="26"/>
  <c r="A100" i="26"/>
  <c r="P99" i="26"/>
  <c r="O99" i="26"/>
  <c r="N99" i="26"/>
  <c r="M99" i="26"/>
  <c r="L99" i="26"/>
  <c r="K99" i="26"/>
  <c r="J99" i="26"/>
  <c r="I99" i="26"/>
  <c r="H99" i="26"/>
  <c r="G99" i="26"/>
  <c r="F99" i="26"/>
  <c r="E99" i="26"/>
  <c r="A99" i="26"/>
  <c r="P98" i="26"/>
  <c r="O98" i="26"/>
  <c r="N98" i="26"/>
  <c r="M98" i="26"/>
  <c r="L98" i="26"/>
  <c r="K98" i="26"/>
  <c r="J98" i="26"/>
  <c r="I98" i="26"/>
  <c r="H98" i="26"/>
  <c r="G98" i="26"/>
  <c r="F98" i="26"/>
  <c r="E98" i="26"/>
  <c r="A98" i="26"/>
  <c r="P97" i="26"/>
  <c r="O97" i="26"/>
  <c r="N97" i="26"/>
  <c r="M97" i="26"/>
  <c r="L97" i="26"/>
  <c r="K97" i="26"/>
  <c r="J97" i="26"/>
  <c r="I97" i="26"/>
  <c r="H97" i="26"/>
  <c r="G97" i="26"/>
  <c r="F97" i="26"/>
  <c r="E97" i="26"/>
  <c r="P96" i="26"/>
  <c r="O96" i="26"/>
  <c r="N96" i="26"/>
  <c r="M96" i="26"/>
  <c r="L96" i="26"/>
  <c r="K96" i="26"/>
  <c r="J96" i="26"/>
  <c r="I96" i="26"/>
  <c r="H96" i="26"/>
  <c r="G96" i="26"/>
  <c r="F96" i="26"/>
  <c r="E96" i="26"/>
  <c r="P94" i="26"/>
  <c r="O94" i="26"/>
  <c r="N94" i="26"/>
  <c r="M94" i="26"/>
  <c r="L94" i="26"/>
  <c r="K94" i="26"/>
  <c r="J94" i="26"/>
  <c r="I94" i="26"/>
  <c r="H94" i="26"/>
  <c r="G94" i="26"/>
  <c r="F94" i="26"/>
  <c r="E94" i="26"/>
  <c r="A94" i="26"/>
  <c r="B93" i="26"/>
  <c r="P91" i="26"/>
  <c r="O91" i="26"/>
  <c r="N91" i="26"/>
  <c r="M91" i="26"/>
  <c r="L91" i="26"/>
  <c r="K91" i="26"/>
  <c r="J91" i="26"/>
  <c r="I91" i="26"/>
  <c r="H91" i="26"/>
  <c r="G91" i="26"/>
  <c r="F91" i="26"/>
  <c r="E91" i="26"/>
  <c r="P90" i="26"/>
  <c r="O90" i="26"/>
  <c r="N90" i="26"/>
  <c r="M90" i="26"/>
  <c r="L90" i="26"/>
  <c r="K90" i="26"/>
  <c r="J90" i="26"/>
  <c r="I90" i="26"/>
  <c r="H90" i="26"/>
  <c r="G90" i="26"/>
  <c r="F90" i="26"/>
  <c r="E90" i="26"/>
  <c r="P89" i="26"/>
  <c r="O89" i="26"/>
  <c r="N89" i="26"/>
  <c r="M89" i="26"/>
  <c r="L89" i="26"/>
  <c r="K89" i="26"/>
  <c r="J89" i="26"/>
  <c r="I89" i="26"/>
  <c r="H89" i="26"/>
  <c r="G89" i="26"/>
  <c r="F89" i="26"/>
  <c r="E89" i="26"/>
  <c r="P86" i="26"/>
  <c r="O86" i="26"/>
  <c r="N86" i="26"/>
  <c r="M86" i="26"/>
  <c r="L86" i="26"/>
  <c r="K86" i="26"/>
  <c r="J86" i="26"/>
  <c r="I86" i="26"/>
  <c r="H86" i="26"/>
  <c r="G86" i="26"/>
  <c r="F86" i="26"/>
  <c r="E86" i="26"/>
  <c r="P85" i="26"/>
  <c r="O85" i="26"/>
  <c r="N85" i="26"/>
  <c r="M85" i="26"/>
  <c r="L85" i="26"/>
  <c r="K85" i="26"/>
  <c r="J85" i="26"/>
  <c r="I85" i="26"/>
  <c r="H85" i="26"/>
  <c r="G85" i="26"/>
  <c r="F85" i="26"/>
  <c r="E85" i="26"/>
  <c r="P83" i="26"/>
  <c r="O83" i="26"/>
  <c r="N83" i="26"/>
  <c r="M83" i="26"/>
  <c r="L83" i="26"/>
  <c r="K83" i="26"/>
  <c r="J83" i="26"/>
  <c r="I83" i="26"/>
  <c r="H83" i="26"/>
  <c r="G83" i="26"/>
  <c r="F83" i="26"/>
  <c r="E83" i="26"/>
  <c r="P82" i="26"/>
  <c r="O82" i="26"/>
  <c r="N82" i="26"/>
  <c r="M82" i="26"/>
  <c r="L82" i="26"/>
  <c r="K82" i="26"/>
  <c r="J82" i="26"/>
  <c r="I82" i="26"/>
  <c r="H82" i="26"/>
  <c r="G82" i="26"/>
  <c r="F82" i="26"/>
  <c r="E82" i="26"/>
  <c r="P81" i="26"/>
  <c r="O81" i="26"/>
  <c r="N81" i="26"/>
  <c r="M81" i="26"/>
  <c r="L81" i="26"/>
  <c r="K81" i="26"/>
  <c r="J81" i="26"/>
  <c r="I81" i="26"/>
  <c r="H81" i="26"/>
  <c r="G81" i="26"/>
  <c r="F81" i="26"/>
  <c r="E81" i="26"/>
  <c r="P80" i="26"/>
  <c r="O80" i="26"/>
  <c r="N80" i="26"/>
  <c r="M80" i="26"/>
  <c r="L80" i="26"/>
  <c r="K80" i="26"/>
  <c r="J80" i="26"/>
  <c r="I80" i="26"/>
  <c r="H80" i="26"/>
  <c r="G80" i="26"/>
  <c r="F80" i="26"/>
  <c r="E80" i="26"/>
  <c r="P79" i="26"/>
  <c r="O79" i="26"/>
  <c r="N79" i="26"/>
  <c r="M79" i="26"/>
  <c r="L79" i="26"/>
  <c r="K79" i="26"/>
  <c r="J79" i="26"/>
  <c r="I79" i="26"/>
  <c r="H79" i="26"/>
  <c r="G79" i="26"/>
  <c r="F79" i="26"/>
  <c r="E79" i="26"/>
  <c r="P78" i="26"/>
  <c r="O78" i="26"/>
  <c r="N78" i="26"/>
  <c r="M78" i="26"/>
  <c r="L78" i="26"/>
  <c r="K78" i="26"/>
  <c r="J78" i="26"/>
  <c r="I78" i="26"/>
  <c r="H78" i="26"/>
  <c r="G78" i="26"/>
  <c r="F78" i="26"/>
  <c r="E78" i="26"/>
  <c r="P77" i="26"/>
  <c r="O77" i="26"/>
  <c r="N77" i="26"/>
  <c r="M77" i="26"/>
  <c r="L77" i="26"/>
  <c r="K77" i="26"/>
  <c r="J77" i="26"/>
  <c r="I77" i="26"/>
  <c r="H77" i="26"/>
  <c r="G77" i="26"/>
  <c r="F77" i="26"/>
  <c r="E77" i="26"/>
  <c r="P76" i="26"/>
  <c r="O76" i="26"/>
  <c r="N76" i="26"/>
  <c r="M76" i="26"/>
  <c r="L76" i="26"/>
  <c r="K76" i="26"/>
  <c r="J76" i="26"/>
  <c r="I76" i="26"/>
  <c r="H76" i="26"/>
  <c r="G76" i="26"/>
  <c r="F76" i="26"/>
  <c r="E76" i="26"/>
  <c r="P75" i="26"/>
  <c r="O75" i="26"/>
  <c r="N75" i="26"/>
  <c r="M75" i="26"/>
  <c r="L75" i="26"/>
  <c r="K75" i="26"/>
  <c r="J75" i="26"/>
  <c r="I75" i="26"/>
  <c r="H75" i="26"/>
  <c r="G75" i="26"/>
  <c r="F75" i="26"/>
  <c r="E75" i="26"/>
  <c r="P74" i="26"/>
  <c r="O74" i="26"/>
  <c r="N74" i="26"/>
  <c r="M74" i="26"/>
  <c r="L74" i="26"/>
  <c r="K74" i="26"/>
  <c r="J74" i="26"/>
  <c r="I74" i="26"/>
  <c r="H74" i="26"/>
  <c r="G74" i="26"/>
  <c r="F74" i="26"/>
  <c r="E74" i="26"/>
  <c r="P73" i="26"/>
  <c r="O73" i="26"/>
  <c r="N73" i="26"/>
  <c r="M73" i="26"/>
  <c r="L73" i="26"/>
  <c r="K73" i="26"/>
  <c r="J73" i="26"/>
  <c r="I73" i="26"/>
  <c r="H73" i="26"/>
  <c r="G73" i="26"/>
  <c r="F73" i="26"/>
  <c r="E73" i="26"/>
  <c r="P72" i="26"/>
  <c r="O72" i="26"/>
  <c r="N72" i="26"/>
  <c r="M72" i="26"/>
  <c r="L72" i="26"/>
  <c r="K72" i="26"/>
  <c r="J72" i="26"/>
  <c r="I72" i="26"/>
  <c r="H72" i="26"/>
  <c r="G72" i="26"/>
  <c r="F72" i="26"/>
  <c r="E72" i="26"/>
  <c r="P71" i="26"/>
  <c r="O71" i="26"/>
  <c r="N71" i="26"/>
  <c r="M71" i="26"/>
  <c r="L71" i="26"/>
  <c r="K71" i="26"/>
  <c r="J71" i="26"/>
  <c r="I71" i="26"/>
  <c r="H71" i="26"/>
  <c r="G71" i="26"/>
  <c r="F71" i="26"/>
  <c r="E71" i="26"/>
  <c r="P70" i="26"/>
  <c r="O70" i="26"/>
  <c r="N70" i="26"/>
  <c r="M70" i="26"/>
  <c r="L70" i="26"/>
  <c r="K70" i="26"/>
  <c r="J70" i="26"/>
  <c r="I70" i="26"/>
  <c r="H70" i="26"/>
  <c r="G70" i="26"/>
  <c r="F70" i="26"/>
  <c r="E70" i="26"/>
  <c r="P69" i="26"/>
  <c r="O69" i="26"/>
  <c r="N69" i="26"/>
  <c r="M69" i="26"/>
  <c r="L69" i="26"/>
  <c r="K69" i="26"/>
  <c r="J69" i="26"/>
  <c r="I69" i="26"/>
  <c r="H69" i="26"/>
  <c r="G69" i="26"/>
  <c r="F69" i="26"/>
  <c r="E69" i="26"/>
  <c r="P68" i="26"/>
  <c r="O68" i="26"/>
  <c r="N68" i="26"/>
  <c r="M68" i="26"/>
  <c r="L68" i="26"/>
  <c r="K68" i="26"/>
  <c r="J68" i="26"/>
  <c r="I68" i="26"/>
  <c r="H68" i="26"/>
  <c r="G68" i="26"/>
  <c r="F68" i="26"/>
  <c r="E68" i="26"/>
  <c r="P67" i="26"/>
  <c r="O67" i="26"/>
  <c r="N67" i="26"/>
  <c r="M67" i="26"/>
  <c r="L67" i="26"/>
  <c r="K67" i="26"/>
  <c r="J67" i="26"/>
  <c r="I67" i="26"/>
  <c r="H67" i="26"/>
  <c r="G67" i="26"/>
  <c r="F67" i="26"/>
  <c r="E67" i="26"/>
  <c r="P66" i="26"/>
  <c r="O66" i="26"/>
  <c r="N66" i="26"/>
  <c r="M66" i="26"/>
  <c r="L66" i="26"/>
  <c r="K66" i="26"/>
  <c r="J66" i="26"/>
  <c r="I66" i="26"/>
  <c r="H66" i="26"/>
  <c r="G66" i="26"/>
  <c r="F66" i="26"/>
  <c r="E66" i="26"/>
  <c r="P65" i="26"/>
  <c r="O65" i="26"/>
  <c r="N65" i="26"/>
  <c r="M65" i="26"/>
  <c r="L65" i="26"/>
  <c r="K65" i="26"/>
  <c r="J65" i="26"/>
  <c r="I65" i="26"/>
  <c r="H65" i="26"/>
  <c r="G65" i="26"/>
  <c r="F65" i="26"/>
  <c r="P64" i="26"/>
  <c r="O64" i="26"/>
  <c r="N64" i="26"/>
  <c r="M64" i="26"/>
  <c r="L64" i="26"/>
  <c r="K64" i="26"/>
  <c r="J64" i="26"/>
  <c r="I64" i="26"/>
  <c r="H64" i="26"/>
  <c r="G64" i="26"/>
  <c r="F64" i="26"/>
  <c r="E64" i="26"/>
  <c r="P61" i="26"/>
  <c r="O61" i="26"/>
  <c r="N61" i="26"/>
  <c r="M61" i="26"/>
  <c r="L61" i="26"/>
  <c r="K61" i="26"/>
  <c r="J61" i="26"/>
  <c r="I61" i="26"/>
  <c r="H61" i="26"/>
  <c r="G61" i="26"/>
  <c r="F61" i="26"/>
  <c r="P60" i="26"/>
  <c r="O60" i="26"/>
  <c r="N60" i="26"/>
  <c r="M60" i="26"/>
  <c r="L60" i="26"/>
  <c r="K60" i="26"/>
  <c r="J60" i="26"/>
  <c r="I60" i="26"/>
  <c r="H60" i="26"/>
  <c r="G60" i="26"/>
  <c r="F60" i="26"/>
  <c r="E60" i="26"/>
  <c r="P59" i="26"/>
  <c r="O59" i="26"/>
  <c r="N59" i="26"/>
  <c r="M59" i="26"/>
  <c r="L59" i="26"/>
  <c r="K59" i="26"/>
  <c r="J59" i="26"/>
  <c r="I59" i="26"/>
  <c r="H59" i="26"/>
  <c r="G59" i="26"/>
  <c r="F59" i="26"/>
  <c r="P58" i="26"/>
  <c r="O58" i="26"/>
  <c r="N58" i="26"/>
  <c r="M58" i="26"/>
  <c r="L58" i="26"/>
  <c r="K58" i="26"/>
  <c r="J58" i="26"/>
  <c r="I58" i="26"/>
  <c r="H58" i="26"/>
  <c r="G58" i="26"/>
  <c r="F58" i="26"/>
  <c r="E58" i="26"/>
  <c r="P55" i="26"/>
  <c r="O55" i="26"/>
  <c r="N55" i="26"/>
  <c r="M55" i="26"/>
  <c r="L55" i="26"/>
  <c r="K55" i="26"/>
  <c r="J55" i="26"/>
  <c r="I55" i="26"/>
  <c r="H55" i="26"/>
  <c r="G55" i="26"/>
  <c r="F55" i="26"/>
  <c r="E55" i="26"/>
  <c r="P54" i="26"/>
  <c r="O54" i="26"/>
  <c r="N54" i="26"/>
  <c r="M54" i="26"/>
  <c r="L54" i="26"/>
  <c r="K54" i="26"/>
  <c r="J54" i="26"/>
  <c r="I54" i="26"/>
  <c r="H54" i="26"/>
  <c r="G54" i="26"/>
  <c r="F54" i="26"/>
  <c r="E54" i="26"/>
  <c r="P53" i="26"/>
  <c r="O53" i="26"/>
  <c r="N53" i="26"/>
  <c r="M53" i="26"/>
  <c r="L53" i="26"/>
  <c r="K53" i="26"/>
  <c r="J53" i="26"/>
  <c r="I53" i="26"/>
  <c r="H53" i="26"/>
  <c r="G53" i="26"/>
  <c r="F53" i="26"/>
  <c r="E53" i="26"/>
  <c r="P51" i="26"/>
  <c r="O51" i="26"/>
  <c r="N51" i="26"/>
  <c r="M51" i="26"/>
  <c r="L51" i="26"/>
  <c r="K51" i="26"/>
  <c r="J51" i="26"/>
  <c r="I51" i="26"/>
  <c r="H51" i="26"/>
  <c r="G51" i="26"/>
  <c r="F51" i="26"/>
  <c r="E51" i="26"/>
  <c r="P50" i="26"/>
  <c r="O50" i="26"/>
  <c r="N50" i="26"/>
  <c r="M50" i="26"/>
  <c r="L50" i="26"/>
  <c r="K50" i="26"/>
  <c r="J50" i="26"/>
  <c r="I50" i="26"/>
  <c r="H50" i="26"/>
  <c r="G50" i="26"/>
  <c r="F50" i="26"/>
  <c r="E50" i="26"/>
  <c r="P49" i="26"/>
  <c r="O49" i="26"/>
  <c r="N49" i="26"/>
  <c r="M49" i="26"/>
  <c r="L49" i="26"/>
  <c r="K49" i="26"/>
  <c r="J49" i="26"/>
  <c r="I49" i="26"/>
  <c r="H49" i="26"/>
  <c r="G49" i="26"/>
  <c r="F49" i="26"/>
  <c r="E49" i="26"/>
  <c r="P48" i="26"/>
  <c r="O48" i="26"/>
  <c r="N48" i="26"/>
  <c r="M48" i="26"/>
  <c r="L48" i="26"/>
  <c r="K48" i="26"/>
  <c r="J48" i="26"/>
  <c r="I48" i="26"/>
  <c r="H48" i="26"/>
  <c r="G48" i="26"/>
  <c r="F48" i="26"/>
  <c r="E48" i="26"/>
  <c r="P47" i="26"/>
  <c r="O47" i="26"/>
  <c r="N47" i="26"/>
  <c r="M47" i="26"/>
  <c r="L47" i="26"/>
  <c r="K47" i="26"/>
  <c r="J47" i="26"/>
  <c r="I47" i="26"/>
  <c r="H47" i="26"/>
  <c r="G47" i="26"/>
  <c r="F47" i="26"/>
  <c r="P46" i="26"/>
  <c r="O46" i="26"/>
  <c r="N46" i="26"/>
  <c r="M46" i="26"/>
  <c r="L46" i="26"/>
  <c r="K46" i="26"/>
  <c r="J46" i="26"/>
  <c r="I46" i="26"/>
  <c r="H46" i="26"/>
  <c r="G46" i="26"/>
  <c r="F46" i="26"/>
  <c r="E46" i="26"/>
  <c r="P45" i="26"/>
  <c r="O45" i="26"/>
  <c r="N45" i="26"/>
  <c r="M45" i="26"/>
  <c r="L45" i="26"/>
  <c r="K45" i="26"/>
  <c r="J45" i="26"/>
  <c r="I45" i="26"/>
  <c r="H45" i="26"/>
  <c r="G45" i="26"/>
  <c r="F45" i="26"/>
  <c r="E45" i="26"/>
  <c r="P44" i="26"/>
  <c r="O44" i="26"/>
  <c r="N44" i="26"/>
  <c r="M44" i="26"/>
  <c r="L44" i="26"/>
  <c r="K44" i="26"/>
  <c r="J44" i="26"/>
  <c r="I44" i="26"/>
  <c r="H44" i="26"/>
  <c r="G44" i="26"/>
  <c r="F44" i="26"/>
  <c r="E44" i="26"/>
  <c r="P43" i="26"/>
  <c r="O43" i="26"/>
  <c r="N43" i="26"/>
  <c r="M43" i="26"/>
  <c r="L43" i="26"/>
  <c r="K43" i="26"/>
  <c r="J43" i="26"/>
  <c r="I43" i="26"/>
  <c r="H43" i="26"/>
  <c r="G43" i="26"/>
  <c r="F43" i="26"/>
  <c r="E43" i="26"/>
  <c r="P42" i="26"/>
  <c r="O42" i="26"/>
  <c r="N42" i="26"/>
  <c r="M42" i="26"/>
  <c r="L42" i="26"/>
  <c r="K42" i="26"/>
  <c r="J42" i="26"/>
  <c r="I42" i="26"/>
  <c r="H42" i="26"/>
  <c r="G42" i="26"/>
  <c r="F42" i="26"/>
  <c r="E42" i="26"/>
  <c r="P39" i="26"/>
  <c r="O39" i="26"/>
  <c r="N39" i="26"/>
  <c r="M39" i="26"/>
  <c r="L39" i="26"/>
  <c r="K39" i="26"/>
  <c r="J39" i="26"/>
  <c r="I39" i="26"/>
  <c r="H39" i="26"/>
  <c r="G39" i="26"/>
  <c r="F39" i="26"/>
  <c r="E39" i="26"/>
  <c r="P38" i="26"/>
  <c r="O38" i="26"/>
  <c r="N38" i="26"/>
  <c r="M38" i="26"/>
  <c r="L38" i="26"/>
  <c r="K38" i="26"/>
  <c r="J38" i="26"/>
  <c r="I38" i="26"/>
  <c r="H38" i="26"/>
  <c r="G38" i="26"/>
  <c r="F38" i="26"/>
  <c r="E38" i="26"/>
  <c r="P37" i="26"/>
  <c r="O37" i="26"/>
  <c r="N37" i="26"/>
  <c r="M37" i="26"/>
  <c r="L37" i="26"/>
  <c r="K37" i="26"/>
  <c r="J37" i="26"/>
  <c r="I37" i="26"/>
  <c r="H37" i="26"/>
  <c r="G37" i="26"/>
  <c r="F37" i="26"/>
  <c r="E37" i="26"/>
  <c r="P36" i="26"/>
  <c r="O36" i="26"/>
  <c r="N36" i="26"/>
  <c r="M36" i="26"/>
  <c r="L36" i="26"/>
  <c r="K36" i="26"/>
  <c r="J36" i="26"/>
  <c r="I36" i="26"/>
  <c r="H36" i="26"/>
  <c r="G36" i="26"/>
  <c r="F36" i="26"/>
  <c r="E36" i="26"/>
  <c r="P35" i="26"/>
  <c r="O35" i="26"/>
  <c r="N35" i="26"/>
  <c r="M35" i="26"/>
  <c r="L35" i="26"/>
  <c r="K35" i="26"/>
  <c r="J35" i="26"/>
  <c r="I35" i="26"/>
  <c r="H35" i="26"/>
  <c r="G35" i="26"/>
  <c r="F35" i="26"/>
  <c r="E35" i="26"/>
  <c r="P34" i="26"/>
  <c r="O34" i="26"/>
  <c r="N34" i="26"/>
  <c r="M34" i="26"/>
  <c r="L34" i="26"/>
  <c r="K34" i="26"/>
  <c r="J34" i="26"/>
  <c r="I34" i="26"/>
  <c r="H34" i="26"/>
  <c r="G34" i="26"/>
  <c r="F34" i="26"/>
  <c r="E34" i="26"/>
  <c r="P33" i="26"/>
  <c r="O33" i="26"/>
  <c r="N33" i="26"/>
  <c r="M33" i="26"/>
  <c r="L33" i="26"/>
  <c r="K33" i="26"/>
  <c r="J33" i="26"/>
  <c r="I33" i="26"/>
  <c r="H33" i="26"/>
  <c r="G33" i="26"/>
  <c r="F33" i="26"/>
  <c r="E33" i="26"/>
  <c r="P30" i="26"/>
  <c r="O30" i="26"/>
  <c r="N30" i="26"/>
  <c r="M30" i="26"/>
  <c r="L30" i="26"/>
  <c r="K30" i="26"/>
  <c r="J30" i="26"/>
  <c r="I30" i="26"/>
  <c r="H30" i="26"/>
  <c r="G30" i="26"/>
  <c r="F30" i="26"/>
  <c r="E30" i="26"/>
  <c r="P29" i="26"/>
  <c r="O29" i="26"/>
  <c r="N29" i="26"/>
  <c r="M29" i="26"/>
  <c r="L29" i="26"/>
  <c r="K29" i="26"/>
  <c r="J29" i="26"/>
  <c r="I29" i="26"/>
  <c r="H29" i="26"/>
  <c r="G29" i="26"/>
  <c r="F29" i="26"/>
  <c r="E29" i="26"/>
  <c r="P28" i="26"/>
  <c r="O28" i="26"/>
  <c r="N28" i="26"/>
  <c r="M28" i="26"/>
  <c r="L28" i="26"/>
  <c r="K28" i="26"/>
  <c r="J28" i="26"/>
  <c r="I28" i="26"/>
  <c r="H28" i="26"/>
  <c r="G28" i="26"/>
  <c r="F28" i="26"/>
  <c r="E28" i="26"/>
  <c r="P25" i="26"/>
  <c r="O25" i="26"/>
  <c r="N25" i="26"/>
  <c r="M25" i="26"/>
  <c r="L25" i="26"/>
  <c r="K25" i="26"/>
  <c r="J25" i="26"/>
  <c r="I25" i="26"/>
  <c r="H25" i="26"/>
  <c r="G25" i="26"/>
  <c r="F25" i="26"/>
  <c r="E25" i="26"/>
  <c r="P24" i="26"/>
  <c r="O24" i="26"/>
  <c r="N24" i="26"/>
  <c r="M24" i="26"/>
  <c r="L24" i="26"/>
  <c r="K24" i="26"/>
  <c r="J24" i="26"/>
  <c r="I24" i="26"/>
  <c r="H24" i="26"/>
  <c r="G24" i="26"/>
  <c r="F24" i="26"/>
  <c r="E24" i="26"/>
  <c r="P23" i="26"/>
  <c r="O23" i="26"/>
  <c r="N23" i="26"/>
  <c r="M23" i="26"/>
  <c r="L23" i="26"/>
  <c r="K23" i="26"/>
  <c r="J23" i="26"/>
  <c r="I23" i="26"/>
  <c r="H23" i="26"/>
  <c r="G23" i="26"/>
  <c r="F23" i="26"/>
  <c r="E23" i="26"/>
  <c r="P22" i="26"/>
  <c r="O22" i="26"/>
  <c r="N22" i="26"/>
  <c r="M22" i="26"/>
  <c r="L22" i="26"/>
  <c r="K22" i="26"/>
  <c r="J22" i="26"/>
  <c r="I22" i="26"/>
  <c r="H22" i="26"/>
  <c r="G22" i="26"/>
  <c r="F22" i="26"/>
  <c r="E22" i="26"/>
  <c r="P21" i="26"/>
  <c r="O21" i="26"/>
  <c r="N21" i="26"/>
  <c r="M21" i="26"/>
  <c r="L21" i="26"/>
  <c r="K21" i="26"/>
  <c r="J21" i="26"/>
  <c r="I21" i="26"/>
  <c r="H21" i="26"/>
  <c r="G21" i="26"/>
  <c r="F21" i="26"/>
  <c r="E21" i="26"/>
  <c r="P19" i="26"/>
  <c r="O19" i="26"/>
  <c r="N19" i="26"/>
  <c r="M19" i="26"/>
  <c r="L19" i="26"/>
  <c r="K19" i="26"/>
  <c r="J19" i="26"/>
  <c r="I19" i="26"/>
  <c r="H19" i="26"/>
  <c r="G19" i="26"/>
  <c r="F19" i="26"/>
  <c r="E19" i="26"/>
  <c r="B17" i="26"/>
  <c r="B15" i="26"/>
  <c r="B14" i="26"/>
  <c r="P13" i="26"/>
  <c r="O13" i="26"/>
  <c r="N13" i="26"/>
  <c r="M13" i="26"/>
  <c r="L13" i="26"/>
  <c r="K13" i="26"/>
  <c r="J13" i="26"/>
  <c r="I13" i="26"/>
  <c r="H13" i="26"/>
  <c r="G13" i="26"/>
  <c r="F13" i="26"/>
  <c r="E13" i="26"/>
  <c r="P12" i="26"/>
  <c r="O12" i="26"/>
  <c r="N12" i="26"/>
  <c r="M12" i="26"/>
  <c r="L12" i="26"/>
  <c r="K12" i="26"/>
  <c r="J12" i="26"/>
  <c r="I12" i="26"/>
  <c r="H12" i="26"/>
  <c r="G12" i="26"/>
  <c r="F12" i="26"/>
  <c r="E12" i="26"/>
  <c r="P11" i="26"/>
  <c r="O11" i="26"/>
  <c r="N11" i="26"/>
  <c r="M11" i="26"/>
  <c r="L11" i="26"/>
  <c r="K11" i="26"/>
  <c r="J11" i="26"/>
  <c r="I11" i="26"/>
  <c r="H11" i="26"/>
  <c r="G11" i="26"/>
  <c r="F11" i="26"/>
  <c r="E11" i="26"/>
  <c r="P10" i="26"/>
  <c r="O10" i="26"/>
  <c r="N10" i="26"/>
  <c r="M10" i="26"/>
  <c r="L10" i="26"/>
  <c r="K10" i="26"/>
  <c r="J10" i="26"/>
  <c r="I10" i="26"/>
  <c r="H10" i="26"/>
  <c r="G10" i="26"/>
  <c r="F10" i="26"/>
  <c r="E10" i="26"/>
  <c r="P9" i="26"/>
  <c r="O9" i="26"/>
  <c r="N9" i="26"/>
  <c r="M9" i="26"/>
  <c r="L9" i="26"/>
  <c r="K9" i="26"/>
  <c r="J9" i="26"/>
  <c r="I9" i="26"/>
  <c r="H9" i="26"/>
  <c r="G9" i="26"/>
  <c r="F9" i="26"/>
  <c r="E9" i="26"/>
  <c r="P8" i="26"/>
  <c r="O8" i="26"/>
  <c r="N8" i="26"/>
  <c r="M8" i="26"/>
  <c r="L8" i="26"/>
  <c r="K8" i="26"/>
  <c r="J8" i="26"/>
  <c r="I8" i="26"/>
  <c r="H8" i="26"/>
  <c r="G8" i="26"/>
  <c r="F8" i="26"/>
  <c r="E8" i="26"/>
  <c r="P7" i="26"/>
  <c r="O7" i="26"/>
  <c r="N7" i="26"/>
  <c r="M7" i="26"/>
  <c r="L7" i="26"/>
  <c r="K7" i="26"/>
  <c r="J7" i="26"/>
  <c r="I7" i="26"/>
  <c r="H7" i="26"/>
  <c r="G7" i="26"/>
  <c r="F7" i="26"/>
  <c r="E7" i="26"/>
  <c r="P4" i="26"/>
  <c r="O4" i="26"/>
  <c r="N4" i="26"/>
  <c r="M4" i="26"/>
  <c r="L4" i="26"/>
  <c r="K4" i="26"/>
  <c r="J4" i="26"/>
  <c r="I4" i="26"/>
  <c r="H4" i="26"/>
  <c r="G4" i="26"/>
  <c r="F4" i="26"/>
  <c r="E4" i="26"/>
  <c r="A2" i="26"/>
  <c r="A1" i="26"/>
  <c r="A65" i="36"/>
  <c r="A63" i="36"/>
  <c r="N59" i="36"/>
  <c r="M59" i="36"/>
  <c r="L59" i="36"/>
  <c r="K59" i="36"/>
  <c r="J59" i="36"/>
  <c r="I59" i="36"/>
  <c r="H59" i="36"/>
  <c r="G59" i="36"/>
  <c r="F59" i="36"/>
  <c r="E59" i="36"/>
  <c r="D59" i="36"/>
  <c r="C59" i="36"/>
  <c r="N58" i="36"/>
  <c r="M58" i="36"/>
  <c r="L58" i="36"/>
  <c r="K58" i="36"/>
  <c r="J58" i="36"/>
  <c r="I58" i="36"/>
  <c r="H58" i="36"/>
  <c r="G58" i="36"/>
  <c r="F58" i="36"/>
  <c r="E58" i="36"/>
  <c r="D58" i="36"/>
  <c r="C58" i="36"/>
  <c r="N55" i="36"/>
  <c r="M55" i="36"/>
  <c r="L55" i="36"/>
  <c r="K55" i="36"/>
  <c r="J55" i="36"/>
  <c r="I55" i="36"/>
  <c r="H55" i="36"/>
  <c r="G55" i="36"/>
  <c r="F55" i="36"/>
  <c r="E55" i="36"/>
  <c r="D55" i="36"/>
  <c r="C55" i="36"/>
  <c r="N54" i="36"/>
  <c r="M54" i="36"/>
  <c r="L54" i="36"/>
  <c r="K54" i="36"/>
  <c r="J54" i="36"/>
  <c r="I54" i="36"/>
  <c r="H54" i="36"/>
  <c r="G54" i="36"/>
  <c r="F54" i="36"/>
  <c r="E54" i="36"/>
  <c r="D54" i="36"/>
  <c r="C54" i="36"/>
  <c r="N53" i="36"/>
  <c r="M53" i="36"/>
  <c r="L53" i="36"/>
  <c r="K53" i="36"/>
  <c r="J53" i="36"/>
  <c r="I53" i="36"/>
  <c r="H53" i="36"/>
  <c r="G53" i="36"/>
  <c r="F53" i="36"/>
  <c r="E53" i="36"/>
  <c r="D53" i="36"/>
  <c r="C53" i="36"/>
  <c r="N50" i="36"/>
  <c r="M50" i="36"/>
  <c r="L50" i="36"/>
  <c r="K50" i="36"/>
  <c r="J50" i="36"/>
  <c r="I50" i="36"/>
  <c r="H50" i="36"/>
  <c r="G50" i="36"/>
  <c r="F50" i="36"/>
  <c r="E50" i="36"/>
  <c r="D50" i="36"/>
  <c r="C50" i="36"/>
  <c r="N49" i="36"/>
  <c r="M49" i="36"/>
  <c r="L49" i="36"/>
  <c r="K49" i="36"/>
  <c r="J49" i="36"/>
  <c r="I49" i="36"/>
  <c r="H49" i="36"/>
  <c r="G49" i="36"/>
  <c r="F49" i="36"/>
  <c r="E49" i="36"/>
  <c r="D49" i="36"/>
  <c r="C49" i="36"/>
  <c r="N48" i="36"/>
  <c r="M48" i="36"/>
  <c r="L48" i="36"/>
  <c r="K48" i="36"/>
  <c r="J48" i="36"/>
  <c r="I48" i="36"/>
  <c r="H48" i="36"/>
  <c r="G48" i="36"/>
  <c r="F48" i="36"/>
  <c r="E48" i="36"/>
  <c r="D48" i="36"/>
  <c r="C48" i="36"/>
  <c r="A47" i="36"/>
  <c r="N45" i="36"/>
  <c r="M45" i="36"/>
  <c r="L45" i="36"/>
  <c r="K45" i="36"/>
  <c r="J45" i="36"/>
  <c r="I45" i="36"/>
  <c r="H45" i="36"/>
  <c r="G45" i="36"/>
  <c r="F45" i="36"/>
  <c r="E45" i="36"/>
  <c r="D45" i="36"/>
  <c r="C45" i="36"/>
  <c r="N44" i="36"/>
  <c r="M44" i="36"/>
  <c r="L44" i="36"/>
  <c r="K44" i="36"/>
  <c r="J44" i="36"/>
  <c r="I44" i="36"/>
  <c r="H44" i="36"/>
  <c r="G44" i="36"/>
  <c r="F44" i="36"/>
  <c r="E44" i="36"/>
  <c r="D44" i="36"/>
  <c r="C44" i="36"/>
  <c r="N43" i="36"/>
  <c r="M43" i="36"/>
  <c r="L43" i="36"/>
  <c r="K43" i="36"/>
  <c r="J43" i="36"/>
  <c r="I43" i="36"/>
  <c r="H43" i="36"/>
  <c r="G43" i="36"/>
  <c r="F43" i="36"/>
  <c r="E43" i="36"/>
  <c r="D43" i="36"/>
  <c r="C43" i="36"/>
  <c r="A42" i="36"/>
  <c r="N39" i="36"/>
  <c r="M39" i="36"/>
  <c r="L39" i="36"/>
  <c r="K39" i="36"/>
  <c r="J39" i="36"/>
  <c r="I39" i="36"/>
  <c r="H39" i="36"/>
  <c r="G39" i="36"/>
  <c r="F39" i="36"/>
  <c r="E39" i="36"/>
  <c r="D39" i="36"/>
  <c r="C39" i="36"/>
  <c r="N38" i="36"/>
  <c r="M38" i="36"/>
  <c r="L38" i="36"/>
  <c r="K38" i="36"/>
  <c r="J38" i="36"/>
  <c r="I38" i="36"/>
  <c r="H38" i="36"/>
  <c r="G38" i="36"/>
  <c r="F38" i="36"/>
  <c r="E38" i="36"/>
  <c r="D38" i="36"/>
  <c r="C38" i="36"/>
  <c r="N36" i="36"/>
  <c r="M36" i="36"/>
  <c r="L36" i="36"/>
  <c r="K36" i="36"/>
  <c r="J36" i="36"/>
  <c r="I36" i="36"/>
  <c r="H36" i="36"/>
  <c r="G36" i="36"/>
  <c r="F36" i="36"/>
  <c r="E36" i="36"/>
  <c r="D36" i="36"/>
  <c r="C36" i="36"/>
  <c r="N35" i="36"/>
  <c r="M35" i="36"/>
  <c r="L35" i="36"/>
  <c r="K35" i="36"/>
  <c r="J35" i="36"/>
  <c r="I35" i="36"/>
  <c r="H35" i="36"/>
  <c r="G35" i="36"/>
  <c r="F35" i="36"/>
  <c r="E35" i="36"/>
  <c r="D35" i="36"/>
  <c r="C35" i="36"/>
  <c r="N33" i="36"/>
  <c r="M33" i="36"/>
  <c r="L33" i="36"/>
  <c r="K33" i="36"/>
  <c r="J33" i="36"/>
  <c r="I33" i="36"/>
  <c r="H33" i="36"/>
  <c r="G33" i="36"/>
  <c r="F33" i="36"/>
  <c r="E33" i="36"/>
  <c r="D33" i="36"/>
  <c r="C33" i="36"/>
  <c r="N32" i="36"/>
  <c r="M32" i="36"/>
  <c r="L32" i="36"/>
  <c r="K32" i="36"/>
  <c r="J32" i="36"/>
  <c r="I32" i="36"/>
  <c r="H32" i="36"/>
  <c r="G32" i="36"/>
  <c r="F32" i="36"/>
  <c r="E32" i="36"/>
  <c r="D32" i="36"/>
  <c r="C32" i="36"/>
  <c r="N29" i="36"/>
  <c r="M29" i="36"/>
  <c r="L29" i="36"/>
  <c r="K29" i="36"/>
  <c r="J29" i="36"/>
  <c r="I29" i="36"/>
  <c r="H29" i="36"/>
  <c r="G29" i="36"/>
  <c r="F29" i="36"/>
  <c r="E29" i="36"/>
  <c r="D29" i="36"/>
  <c r="C29" i="36"/>
  <c r="N28" i="36"/>
  <c r="M28" i="36"/>
  <c r="L28" i="36"/>
  <c r="K28" i="36"/>
  <c r="J28" i="36"/>
  <c r="I28" i="36"/>
  <c r="H28" i="36"/>
  <c r="G28" i="36"/>
  <c r="F28" i="36"/>
  <c r="E28" i="36"/>
  <c r="D28" i="36"/>
  <c r="C28" i="36"/>
  <c r="N25" i="36"/>
  <c r="M25" i="36"/>
  <c r="L25" i="36"/>
  <c r="K25" i="36"/>
  <c r="J25" i="36"/>
  <c r="I25" i="36"/>
  <c r="H25" i="36"/>
  <c r="G25" i="36"/>
  <c r="F25" i="36"/>
  <c r="E25" i="36"/>
  <c r="D25" i="36"/>
  <c r="C25" i="36"/>
  <c r="N24" i="36"/>
  <c r="M24" i="36"/>
  <c r="L24" i="36"/>
  <c r="K24" i="36"/>
  <c r="J24" i="36"/>
  <c r="I24" i="36"/>
  <c r="H24" i="36"/>
  <c r="G24" i="36"/>
  <c r="F24" i="36"/>
  <c r="E24" i="36"/>
  <c r="D24" i="36"/>
  <c r="C24" i="36"/>
  <c r="N23" i="36"/>
  <c r="M23" i="36"/>
  <c r="L23" i="36"/>
  <c r="K23" i="36"/>
  <c r="J23" i="36"/>
  <c r="I23" i="36"/>
  <c r="H23" i="36"/>
  <c r="G23" i="36"/>
  <c r="F23" i="36"/>
  <c r="E23" i="36"/>
  <c r="D23" i="36"/>
  <c r="C23" i="36"/>
  <c r="N22" i="36"/>
  <c r="M22" i="36"/>
  <c r="L22" i="36"/>
  <c r="K22" i="36"/>
  <c r="J22" i="36"/>
  <c r="I22" i="36"/>
  <c r="H22" i="36"/>
  <c r="G22" i="36"/>
  <c r="F22" i="36"/>
  <c r="E22" i="36"/>
  <c r="D22" i="36"/>
  <c r="C22" i="36"/>
  <c r="N21" i="36"/>
  <c r="M21" i="36"/>
  <c r="L21" i="36"/>
  <c r="K21" i="36"/>
  <c r="J21" i="36"/>
  <c r="I21" i="36"/>
  <c r="H21" i="36"/>
  <c r="G21" i="36"/>
  <c r="F21" i="36"/>
  <c r="E21" i="36"/>
  <c r="D21" i="36"/>
  <c r="C21" i="36"/>
  <c r="N20" i="36"/>
  <c r="M20" i="36"/>
  <c r="L20" i="36"/>
  <c r="K20" i="36"/>
  <c r="J20" i="36"/>
  <c r="I20" i="36"/>
  <c r="H20" i="36"/>
  <c r="G20" i="36"/>
  <c r="F20" i="36"/>
  <c r="E20" i="36"/>
  <c r="D20" i="36"/>
  <c r="C20" i="36"/>
  <c r="N19" i="36"/>
  <c r="M19" i="36"/>
  <c r="L19" i="36"/>
  <c r="K19" i="36"/>
  <c r="J19" i="36"/>
  <c r="I19" i="36"/>
  <c r="H19" i="36"/>
  <c r="G19" i="36"/>
  <c r="F19" i="36"/>
  <c r="E19" i="36"/>
  <c r="D19" i="36"/>
  <c r="C19" i="36"/>
  <c r="N18" i="36"/>
  <c r="M18" i="36"/>
  <c r="L18" i="36"/>
  <c r="K18" i="36"/>
  <c r="J18" i="36"/>
  <c r="I18" i="36"/>
  <c r="H18" i="36"/>
  <c r="G18" i="36"/>
  <c r="F18" i="36"/>
  <c r="E18" i="36"/>
  <c r="D18" i="36"/>
  <c r="C18" i="36"/>
  <c r="N17" i="36"/>
  <c r="M17" i="36"/>
  <c r="L17" i="36"/>
  <c r="K17" i="36"/>
  <c r="J17" i="36"/>
  <c r="I17" i="36"/>
  <c r="H17" i="36"/>
  <c r="G17" i="36"/>
  <c r="F17" i="36"/>
  <c r="E17" i="36"/>
  <c r="D17" i="36"/>
  <c r="C17" i="36"/>
  <c r="N16" i="36"/>
  <c r="M16" i="36"/>
  <c r="L16" i="36"/>
  <c r="K16" i="36"/>
  <c r="J16" i="36"/>
  <c r="I16" i="36"/>
  <c r="H16" i="36"/>
  <c r="G16" i="36"/>
  <c r="F16" i="36"/>
  <c r="E16" i="36"/>
  <c r="D16" i="36"/>
  <c r="C16" i="36"/>
  <c r="N15" i="36"/>
  <c r="M15" i="36"/>
  <c r="L15" i="36"/>
  <c r="K15" i="36"/>
  <c r="J15" i="36"/>
  <c r="I15" i="36"/>
  <c r="H15" i="36"/>
  <c r="G15" i="36"/>
  <c r="F15" i="36"/>
  <c r="E15" i="36"/>
  <c r="D15" i="36"/>
  <c r="C15" i="36"/>
  <c r="N14" i="36"/>
  <c r="M14" i="36"/>
  <c r="L14" i="36"/>
  <c r="K14" i="36"/>
  <c r="J14" i="36"/>
  <c r="I14" i="36"/>
  <c r="H14" i="36"/>
  <c r="G14" i="36"/>
  <c r="F14" i="36"/>
  <c r="E14" i="36"/>
  <c r="D14" i="36"/>
  <c r="C14" i="36"/>
  <c r="N13" i="36"/>
  <c r="M13" i="36"/>
  <c r="L13" i="36"/>
  <c r="K13" i="36"/>
  <c r="J13" i="36"/>
  <c r="I13" i="36"/>
  <c r="H13" i="36"/>
  <c r="G13" i="36"/>
  <c r="F13" i="36"/>
  <c r="E13" i="36"/>
  <c r="D13" i="36"/>
  <c r="C13" i="36"/>
  <c r="N12" i="36"/>
  <c r="M12" i="36"/>
  <c r="L12" i="36"/>
  <c r="K12" i="36"/>
  <c r="J12" i="36"/>
  <c r="I12" i="36"/>
  <c r="H12" i="36"/>
  <c r="G12" i="36"/>
  <c r="F12" i="36"/>
  <c r="E12" i="36"/>
  <c r="D12" i="36"/>
  <c r="C12" i="36"/>
  <c r="N9" i="36"/>
  <c r="M9" i="36"/>
  <c r="L9" i="36"/>
  <c r="K9" i="36"/>
  <c r="J9" i="36"/>
  <c r="I9" i="36"/>
  <c r="H9" i="36"/>
  <c r="G9" i="36"/>
  <c r="F9" i="36"/>
  <c r="E9" i="36"/>
  <c r="D9" i="36"/>
  <c r="C9" i="36"/>
  <c r="N8" i="36"/>
  <c r="M8" i="36"/>
  <c r="L8" i="36"/>
  <c r="K8" i="36"/>
  <c r="J8" i="36"/>
  <c r="I8" i="36"/>
  <c r="H8" i="36"/>
  <c r="G8" i="36"/>
  <c r="F8" i="36"/>
  <c r="E8" i="36"/>
  <c r="D8" i="36"/>
  <c r="C8" i="36"/>
  <c r="A8" i="36"/>
  <c r="N7" i="36"/>
  <c r="M7" i="36"/>
  <c r="L7" i="36"/>
  <c r="K7" i="36"/>
  <c r="J7" i="36"/>
  <c r="I7" i="36"/>
  <c r="H7" i="36"/>
  <c r="G7" i="36"/>
  <c r="F7" i="36"/>
  <c r="E7" i="36"/>
  <c r="D7" i="36"/>
  <c r="C7" i="36"/>
  <c r="A7" i="36"/>
  <c r="N4" i="36"/>
  <c r="M4" i="36"/>
  <c r="L4" i="36"/>
  <c r="K4" i="36"/>
  <c r="J4" i="36"/>
  <c r="I4" i="36"/>
  <c r="H4" i="36"/>
  <c r="G4" i="36"/>
  <c r="F4" i="36"/>
  <c r="E4" i="36"/>
  <c r="D4" i="36"/>
  <c r="C4" i="36"/>
  <c r="A2" i="36"/>
  <c r="A1" i="36"/>
  <c r="A56" i="37"/>
  <c r="A52" i="37"/>
  <c r="A35" i="37"/>
  <c r="A30" i="37"/>
  <c r="A27" i="37"/>
  <c r="A26" i="37"/>
  <c r="A12" i="37"/>
  <c r="A11" i="37"/>
  <c r="A8" i="37"/>
  <c r="A7" i="37"/>
  <c r="A2" i="37"/>
  <c r="N155" i="24"/>
  <c r="M155" i="24"/>
  <c r="L155" i="24"/>
  <c r="K155" i="24"/>
  <c r="J155" i="24"/>
  <c r="I155" i="24"/>
  <c r="H155" i="24"/>
  <c r="G155" i="24"/>
  <c r="F155" i="24"/>
  <c r="E155" i="24"/>
  <c r="D155" i="24"/>
  <c r="C155" i="24"/>
  <c r="N154" i="24"/>
  <c r="M154" i="24"/>
  <c r="L154" i="24"/>
  <c r="K154" i="24"/>
  <c r="J154" i="24"/>
  <c r="I154" i="24"/>
  <c r="H154" i="24"/>
  <c r="G154" i="24"/>
  <c r="F154" i="24"/>
  <c r="E154" i="24"/>
  <c r="D154" i="24"/>
  <c r="C154" i="24"/>
  <c r="N153" i="24"/>
  <c r="M153" i="24"/>
  <c r="L153" i="24"/>
  <c r="K153" i="24"/>
  <c r="J153" i="24"/>
  <c r="I153" i="24"/>
  <c r="H153" i="24"/>
  <c r="G153" i="24"/>
  <c r="F153" i="24"/>
  <c r="E153" i="24"/>
  <c r="D153" i="24"/>
  <c r="C153" i="24"/>
  <c r="A152" i="24"/>
  <c r="C150" i="24"/>
  <c r="C149" i="24"/>
  <c r="C148" i="24"/>
  <c r="C147" i="24"/>
  <c r="C146" i="24"/>
  <c r="A145" i="24"/>
  <c r="A137" i="24"/>
  <c r="A128" i="24"/>
  <c r="A127" i="24"/>
  <c r="N126" i="24"/>
  <c r="M126" i="24"/>
  <c r="L126" i="24"/>
  <c r="K126" i="24"/>
  <c r="J126" i="24"/>
  <c r="I126" i="24"/>
  <c r="H126" i="24"/>
  <c r="G126" i="24"/>
  <c r="F126" i="24"/>
  <c r="E126" i="24"/>
  <c r="D126" i="24"/>
  <c r="C126" i="24"/>
  <c r="A112" i="24"/>
  <c r="A110" i="24"/>
  <c r="N108" i="24"/>
  <c r="M108" i="24"/>
  <c r="L108" i="24"/>
  <c r="K108" i="24"/>
  <c r="J108" i="24"/>
  <c r="I108" i="24"/>
  <c r="H108" i="24"/>
  <c r="G108" i="24"/>
  <c r="F108" i="24"/>
  <c r="E108" i="24"/>
  <c r="D108" i="24"/>
  <c r="C108" i="24"/>
  <c r="A94" i="24"/>
  <c r="A92" i="24"/>
  <c r="A90" i="24"/>
  <c r="N57" i="24"/>
  <c r="M57" i="24"/>
  <c r="L57" i="24"/>
  <c r="K57" i="24"/>
  <c r="J57" i="24"/>
  <c r="I57" i="24"/>
  <c r="H57" i="24"/>
  <c r="G57" i="24"/>
  <c r="F57" i="24"/>
  <c r="E57" i="24"/>
  <c r="D57" i="24"/>
  <c r="C57" i="24"/>
  <c r="N39" i="24"/>
  <c r="M39" i="24"/>
  <c r="L39" i="24"/>
  <c r="K39" i="24"/>
  <c r="J39" i="24"/>
  <c r="I39" i="24"/>
  <c r="H39" i="24"/>
  <c r="G39" i="24"/>
  <c r="F39" i="24"/>
  <c r="E39" i="24"/>
  <c r="D39" i="24"/>
  <c r="C39" i="24"/>
  <c r="A21" i="24"/>
  <c r="N18" i="24"/>
  <c r="M18" i="24"/>
  <c r="L18" i="24"/>
  <c r="K18" i="24"/>
  <c r="J18" i="24"/>
  <c r="I18" i="24"/>
  <c r="H18" i="24"/>
  <c r="G18" i="24"/>
  <c r="F18" i="24"/>
  <c r="E18" i="24"/>
  <c r="D18" i="24"/>
  <c r="A18" i="24"/>
  <c r="N17" i="24"/>
  <c r="M17" i="24"/>
  <c r="L17" i="24"/>
  <c r="K17" i="24"/>
  <c r="J17" i="24"/>
  <c r="I17" i="24"/>
  <c r="H17" i="24"/>
  <c r="G17" i="24"/>
  <c r="F17" i="24"/>
  <c r="E17" i="24"/>
  <c r="D17" i="24"/>
  <c r="A17" i="24"/>
  <c r="A14" i="24"/>
  <c r="A13" i="24"/>
  <c r="N10" i="24"/>
  <c r="M10" i="24"/>
  <c r="L10" i="24"/>
  <c r="K10" i="24"/>
  <c r="J10" i="24"/>
  <c r="I10" i="24"/>
  <c r="H10" i="24"/>
  <c r="G10" i="24"/>
  <c r="F10" i="24"/>
  <c r="E10" i="24"/>
  <c r="D10" i="24"/>
  <c r="C10" i="24"/>
  <c r="A10" i="24"/>
  <c r="N9" i="24"/>
  <c r="M9" i="24"/>
  <c r="L9" i="24"/>
  <c r="K9" i="24"/>
  <c r="J9" i="24"/>
  <c r="I9" i="24"/>
  <c r="H9" i="24"/>
  <c r="G9" i="24"/>
  <c r="F9" i="24"/>
  <c r="E9" i="24"/>
  <c r="D9" i="24"/>
  <c r="C9" i="24"/>
  <c r="A9" i="24"/>
  <c r="FV5" i="24"/>
  <c r="I360" i="14" l="1"/>
  <c r="I490" i="26" s="1"/>
  <c r="M360" i="14"/>
  <c r="M490" i="26" s="1"/>
  <c r="F360" i="14"/>
  <c r="F490" i="26" s="1"/>
  <c r="J360" i="14"/>
  <c r="J490" i="26" s="1"/>
  <c r="N360" i="14"/>
  <c r="N490" i="26" s="1"/>
  <c r="G360" i="14"/>
  <c r="G490" i="26" s="1"/>
  <c r="K360" i="14"/>
  <c r="K490" i="26" s="1"/>
  <c r="O360" i="14"/>
  <c r="O490" i="26" s="1"/>
  <c r="H360" i="14"/>
  <c r="H490" i="26" s="1"/>
  <c r="L360" i="14"/>
  <c r="L490" i="26" s="1"/>
  <c r="P360" i="14"/>
  <c r="P490" i="26" s="1"/>
  <c r="I509" i="26"/>
  <c r="I514" i="26" s="1"/>
  <c r="M509" i="26"/>
  <c r="M514" i="26" s="1"/>
  <c r="F509" i="26"/>
  <c r="F514" i="26" s="1"/>
  <c r="J509" i="26"/>
  <c r="J514" i="26" s="1"/>
  <c r="N509" i="26"/>
  <c r="N514" i="26" s="1"/>
  <c r="G509" i="26"/>
  <c r="G514" i="26" s="1"/>
  <c r="K509" i="26"/>
  <c r="K514" i="26" s="1"/>
  <c r="O509" i="26"/>
  <c r="O514" i="26" s="1"/>
  <c r="H509" i="26"/>
  <c r="H514" i="26" s="1"/>
  <c r="L509" i="26"/>
  <c r="L514" i="26" s="1"/>
  <c r="P509" i="26"/>
  <c r="P514" i="26"/>
  <c r="E509" i="26"/>
  <c r="E514" i="26"/>
  <c r="F303" i="14"/>
  <c r="F563" i="26" s="1"/>
  <c r="J303" i="14"/>
  <c r="J563" i="26" s="1"/>
  <c r="N303" i="14"/>
  <c r="N563" i="26" s="1"/>
  <c r="H303" i="14"/>
  <c r="H563" i="26" s="1"/>
  <c r="H582" i="26" s="1"/>
  <c r="H587" i="26" s="1"/>
  <c r="F63" i="36" s="1"/>
  <c r="L303" i="14"/>
  <c r="L563" i="26" s="1"/>
  <c r="L582" i="26" s="1"/>
  <c r="L587" i="26" s="1"/>
  <c r="P303" i="14"/>
  <c r="P563" i="26" s="1"/>
  <c r="P582" i="26" s="1"/>
  <c r="P587" i="26" s="1"/>
  <c r="P591" i="26" s="1"/>
  <c r="P593" i="26" s="1"/>
  <c r="I303" i="14"/>
  <c r="I563" i="26" s="1"/>
  <c r="I582" i="26" s="1"/>
  <c r="M303" i="14"/>
  <c r="M563" i="26" s="1"/>
  <c r="G303" i="14"/>
  <c r="G563" i="26" s="1"/>
  <c r="G582" i="26" s="1"/>
  <c r="G587" i="26" s="1"/>
  <c r="O303" i="14"/>
  <c r="O563" i="26" s="1"/>
  <c r="O582" i="26" s="1"/>
  <c r="O587" i="26" s="1"/>
  <c r="P588" i="26"/>
  <c r="P589" i="26" s="1"/>
  <c r="P608" i="26" s="1"/>
  <c r="N582" i="26"/>
  <c r="N587" i="26" s="1"/>
  <c r="J582" i="26"/>
  <c r="J587" i="26"/>
  <c r="K582" i="26"/>
  <c r="K587" i="26" s="1"/>
  <c r="F582" i="26"/>
  <c r="F587" i="26" s="1"/>
  <c r="E582" i="26"/>
  <c r="E587" i="26"/>
  <c r="N518" i="26" l="1"/>
  <c r="N520" i="26" s="1"/>
  <c r="L65" i="36"/>
  <c r="N515" i="26"/>
  <c r="N516" i="26" s="1"/>
  <c r="N535" i="26" s="1"/>
  <c r="I518" i="26"/>
  <c r="I520" i="26" s="1"/>
  <c r="G65" i="36"/>
  <c r="I515" i="26"/>
  <c r="I516" i="26" s="1"/>
  <c r="I535" i="26" s="1"/>
  <c r="M65" i="36"/>
  <c r="O515" i="26"/>
  <c r="O516" i="26" s="1"/>
  <c r="O535" i="26" s="1"/>
  <c r="O518" i="26"/>
  <c r="O520" i="26" s="1"/>
  <c r="J518" i="26"/>
  <c r="J520" i="26" s="1"/>
  <c r="H65" i="36"/>
  <c r="J515" i="26"/>
  <c r="J516" i="26" s="1"/>
  <c r="J535" i="26" s="1"/>
  <c r="I65" i="36"/>
  <c r="K515" i="26"/>
  <c r="K516" i="26" s="1"/>
  <c r="K535" i="26" s="1"/>
  <c r="K518" i="26"/>
  <c r="K520" i="26" s="1"/>
  <c r="F518" i="26"/>
  <c r="F520" i="26" s="1"/>
  <c r="D65" i="36"/>
  <c r="F515" i="26"/>
  <c r="F516" i="26" s="1"/>
  <c r="F535" i="26" s="1"/>
  <c r="E65" i="36"/>
  <c r="G515" i="26"/>
  <c r="G516" i="26" s="1"/>
  <c r="G535" i="26" s="1"/>
  <c r="G518" i="26"/>
  <c r="G520" i="26" s="1"/>
  <c r="M518" i="26"/>
  <c r="M520" i="26" s="1"/>
  <c r="K65" i="36"/>
  <c r="M515" i="26"/>
  <c r="M516" i="26" s="1"/>
  <c r="M535" i="26" s="1"/>
  <c r="L515" i="26"/>
  <c r="L516" i="26" s="1"/>
  <c r="L535" i="26" s="1"/>
  <c r="L518" i="26"/>
  <c r="L520" i="26" s="1"/>
  <c r="J65" i="36"/>
  <c r="P515" i="26"/>
  <c r="P516" i="26" s="1"/>
  <c r="P535" i="26" s="1"/>
  <c r="P518" i="26"/>
  <c r="P520" i="26" s="1"/>
  <c r="N67" i="36" s="1"/>
  <c r="N65" i="36"/>
  <c r="H515" i="26"/>
  <c r="H516" i="26" s="1"/>
  <c r="H535" i="26" s="1"/>
  <c r="H518" i="26"/>
  <c r="H520" i="26" s="1"/>
  <c r="F65" i="36"/>
  <c r="C65" i="36"/>
  <c r="E518" i="26"/>
  <c r="E520" i="26" s="1"/>
  <c r="E515" i="26"/>
  <c r="E516" i="26" s="1"/>
  <c r="E535" i="26" s="1"/>
  <c r="L588" i="26"/>
  <c r="L589" i="26" s="1"/>
  <c r="L608" i="26" s="1"/>
  <c r="J63" i="36"/>
  <c r="L591" i="26"/>
  <c r="L593" i="26" s="1"/>
  <c r="J67" i="36" s="1"/>
  <c r="H591" i="26"/>
  <c r="H593" i="26" s="1"/>
  <c r="F67" i="36" s="1"/>
  <c r="H588" i="26"/>
  <c r="H589" i="26" s="1"/>
  <c r="H608" i="26" s="1"/>
  <c r="I587" i="26"/>
  <c r="N63" i="36"/>
  <c r="M582" i="26"/>
  <c r="M587" i="26" s="1"/>
  <c r="N591" i="26"/>
  <c r="N593" i="26" s="1"/>
  <c r="N588" i="26"/>
  <c r="N589" i="26" s="1"/>
  <c r="N608" i="26" s="1"/>
  <c r="L63" i="36"/>
  <c r="K588" i="26"/>
  <c r="K589" i="26" s="1"/>
  <c r="K608" i="26" s="1"/>
  <c r="I63" i="36"/>
  <c r="K591" i="26"/>
  <c r="K593" i="26" s="1"/>
  <c r="I67" i="36" s="1"/>
  <c r="O588" i="26"/>
  <c r="O589" i="26" s="1"/>
  <c r="O608" i="26" s="1"/>
  <c r="M63" i="36"/>
  <c r="O591" i="26"/>
  <c r="O593" i="26" s="1"/>
  <c r="G588" i="26"/>
  <c r="G589" i="26" s="1"/>
  <c r="G608" i="26" s="1"/>
  <c r="E63" i="36"/>
  <c r="G591" i="26"/>
  <c r="G593" i="26" s="1"/>
  <c r="E67" i="36" s="1"/>
  <c r="F591" i="26"/>
  <c r="F593" i="26" s="1"/>
  <c r="D67" i="36" s="1"/>
  <c r="F588" i="26"/>
  <c r="F589" i="26" s="1"/>
  <c r="F608" i="26" s="1"/>
  <c r="D63" i="36"/>
  <c r="J591" i="26"/>
  <c r="J593" i="26" s="1"/>
  <c r="H67" i="36" s="1"/>
  <c r="J588" i="26"/>
  <c r="J589" i="26" s="1"/>
  <c r="J608" i="26" s="1"/>
  <c r="H63" i="36"/>
  <c r="I591" i="26"/>
  <c r="I593" i="26" s="1"/>
  <c r="G67" i="36" s="1"/>
  <c r="G63" i="36"/>
  <c r="I588" i="26"/>
  <c r="I589" i="26" s="1"/>
  <c r="I608" i="26" s="1"/>
  <c r="H611" i="26"/>
  <c r="H612" i="26" s="1"/>
  <c r="H614" i="26" s="1"/>
  <c r="H615" i="26" s="1"/>
  <c r="H616" i="26" s="1"/>
  <c r="H617" i="26" s="1"/>
  <c r="H618" i="26" s="1"/>
  <c r="H619" i="26" s="1"/>
  <c r="H620" i="26" s="1"/>
  <c r="H621" i="26" s="1"/>
  <c r="H609" i="26"/>
  <c r="H610" i="26" s="1"/>
  <c r="P611" i="26"/>
  <c r="P612" i="26" s="1"/>
  <c r="P614" i="26" s="1"/>
  <c r="P615" i="26" s="1"/>
  <c r="P616" i="26" s="1"/>
  <c r="P617" i="26" s="1"/>
  <c r="P618" i="26" s="1"/>
  <c r="P619" i="26" s="1"/>
  <c r="P620" i="26" s="1"/>
  <c r="P621" i="26" s="1"/>
  <c r="P609" i="26"/>
  <c r="P610" i="26" s="1"/>
  <c r="C63" i="36"/>
  <c r="E588" i="26"/>
  <c r="E589" i="26" s="1"/>
  <c r="E608" i="26" s="1"/>
  <c r="E591" i="26"/>
  <c r="E593" i="26" s="1"/>
  <c r="C67" i="36" s="1"/>
  <c r="P536" i="26" l="1"/>
  <c r="P537" i="26" s="1"/>
  <c r="P550" i="26" s="1"/>
  <c r="P551" i="26" s="1"/>
  <c r="P555" i="26" s="1"/>
  <c r="P554" i="26" s="1"/>
  <c r="P556" i="26" s="1"/>
  <c r="P538" i="26"/>
  <c r="P539" i="26" s="1"/>
  <c r="P541" i="26" s="1"/>
  <c r="P542" i="26" s="1"/>
  <c r="P543" i="26" s="1"/>
  <c r="P544" i="26" s="1"/>
  <c r="P545" i="26" s="1"/>
  <c r="P546" i="26" s="1"/>
  <c r="P547" i="26" s="1"/>
  <c r="P548" i="26" s="1"/>
  <c r="H536" i="26"/>
  <c r="H537" i="26" s="1"/>
  <c r="H538" i="26"/>
  <c r="H539" i="26" s="1"/>
  <c r="H541" i="26" s="1"/>
  <c r="H542" i="26" s="1"/>
  <c r="H543" i="26" s="1"/>
  <c r="H544" i="26" s="1"/>
  <c r="H545" i="26" s="1"/>
  <c r="H546" i="26" s="1"/>
  <c r="H547" i="26" s="1"/>
  <c r="H548" i="26" s="1"/>
  <c r="M536" i="26"/>
  <c r="M537" i="26" s="1"/>
  <c r="M550" i="26" s="1"/>
  <c r="M551" i="26" s="1"/>
  <c r="M555" i="26" s="1"/>
  <c r="M554" i="26" s="1"/>
  <c r="M556" i="26" s="1"/>
  <c r="M538" i="26"/>
  <c r="M539" i="26" s="1"/>
  <c r="M541" i="26" s="1"/>
  <c r="M542" i="26" s="1"/>
  <c r="M543" i="26" s="1"/>
  <c r="M544" i="26" s="1"/>
  <c r="M545" i="26" s="1"/>
  <c r="M546" i="26" s="1"/>
  <c r="M547" i="26" s="1"/>
  <c r="M548" i="26" s="1"/>
  <c r="G538" i="26"/>
  <c r="G539" i="26" s="1"/>
  <c r="G541" i="26" s="1"/>
  <c r="G542" i="26" s="1"/>
  <c r="G543" i="26" s="1"/>
  <c r="G544" i="26" s="1"/>
  <c r="G545" i="26" s="1"/>
  <c r="G546" i="26" s="1"/>
  <c r="G547" i="26" s="1"/>
  <c r="G548" i="26" s="1"/>
  <c r="G536" i="26"/>
  <c r="G537" i="26" s="1"/>
  <c r="J538" i="26"/>
  <c r="J539" i="26" s="1"/>
  <c r="J541" i="26" s="1"/>
  <c r="J542" i="26" s="1"/>
  <c r="J543" i="26" s="1"/>
  <c r="J544" i="26" s="1"/>
  <c r="J545" i="26" s="1"/>
  <c r="J546" i="26" s="1"/>
  <c r="J547" i="26" s="1"/>
  <c r="J548" i="26" s="1"/>
  <c r="J536" i="26"/>
  <c r="J537" i="26" s="1"/>
  <c r="O538" i="26"/>
  <c r="O539" i="26" s="1"/>
  <c r="O541" i="26" s="1"/>
  <c r="O542" i="26" s="1"/>
  <c r="O543" i="26" s="1"/>
  <c r="O544" i="26" s="1"/>
  <c r="O545" i="26" s="1"/>
  <c r="O546" i="26" s="1"/>
  <c r="O547" i="26" s="1"/>
  <c r="O548" i="26" s="1"/>
  <c r="O536" i="26"/>
  <c r="O537" i="26" s="1"/>
  <c r="L536" i="26"/>
  <c r="L537" i="26" s="1"/>
  <c r="L550" i="26" s="1"/>
  <c r="L551" i="26" s="1"/>
  <c r="L555" i="26" s="1"/>
  <c r="L554" i="26" s="1"/>
  <c r="L556" i="26" s="1"/>
  <c r="L538" i="26"/>
  <c r="L539" i="26" s="1"/>
  <c r="L541" i="26" s="1"/>
  <c r="L542" i="26" s="1"/>
  <c r="L543" i="26" s="1"/>
  <c r="L544" i="26" s="1"/>
  <c r="L545" i="26" s="1"/>
  <c r="L546" i="26" s="1"/>
  <c r="L547" i="26" s="1"/>
  <c r="L548" i="26" s="1"/>
  <c r="N538" i="26"/>
  <c r="N539" i="26" s="1"/>
  <c r="N541" i="26" s="1"/>
  <c r="N542" i="26" s="1"/>
  <c r="N543" i="26" s="1"/>
  <c r="N544" i="26" s="1"/>
  <c r="N545" i="26" s="1"/>
  <c r="N546" i="26" s="1"/>
  <c r="N547" i="26" s="1"/>
  <c r="N548" i="26" s="1"/>
  <c r="N536" i="26"/>
  <c r="N537" i="26" s="1"/>
  <c r="M67" i="36"/>
  <c r="L67" i="36"/>
  <c r="F538" i="26"/>
  <c r="F539" i="26" s="1"/>
  <c r="F541" i="26" s="1"/>
  <c r="F542" i="26" s="1"/>
  <c r="F543" i="26" s="1"/>
  <c r="F544" i="26" s="1"/>
  <c r="F545" i="26" s="1"/>
  <c r="F546" i="26" s="1"/>
  <c r="F547" i="26" s="1"/>
  <c r="F548" i="26" s="1"/>
  <c r="F536" i="26"/>
  <c r="F537" i="26" s="1"/>
  <c r="K538" i="26"/>
  <c r="K539" i="26" s="1"/>
  <c r="K541" i="26" s="1"/>
  <c r="K542" i="26" s="1"/>
  <c r="K543" i="26" s="1"/>
  <c r="K544" i="26" s="1"/>
  <c r="K545" i="26" s="1"/>
  <c r="K546" i="26" s="1"/>
  <c r="K547" i="26" s="1"/>
  <c r="K548" i="26" s="1"/>
  <c r="K536" i="26"/>
  <c r="K537" i="26" s="1"/>
  <c r="I536" i="26"/>
  <c r="I537" i="26" s="1"/>
  <c r="I550" i="26" s="1"/>
  <c r="I551" i="26" s="1"/>
  <c r="I555" i="26" s="1"/>
  <c r="I554" i="26" s="1"/>
  <c r="I556" i="26" s="1"/>
  <c r="I538" i="26"/>
  <c r="I539" i="26" s="1"/>
  <c r="I541" i="26" s="1"/>
  <c r="I542" i="26" s="1"/>
  <c r="I543" i="26" s="1"/>
  <c r="I544" i="26" s="1"/>
  <c r="I545" i="26" s="1"/>
  <c r="I546" i="26" s="1"/>
  <c r="I547" i="26" s="1"/>
  <c r="I548" i="26" s="1"/>
  <c r="E538" i="26"/>
  <c r="E539" i="26" s="1"/>
  <c r="E541" i="26" s="1"/>
  <c r="E542" i="26" s="1"/>
  <c r="E543" i="26" s="1"/>
  <c r="E544" i="26" s="1"/>
  <c r="E545" i="26" s="1"/>
  <c r="E546" i="26" s="1"/>
  <c r="E547" i="26" s="1"/>
  <c r="E548" i="26" s="1"/>
  <c r="E536" i="26"/>
  <c r="E537" i="26" s="1"/>
  <c r="E550" i="26" s="1"/>
  <c r="E551" i="26" s="1"/>
  <c r="E555" i="26" s="1"/>
  <c r="E554" i="26" s="1"/>
  <c r="E556" i="26" s="1"/>
  <c r="L611" i="26"/>
  <c r="L612" i="26" s="1"/>
  <c r="L614" i="26" s="1"/>
  <c r="L615" i="26" s="1"/>
  <c r="L616" i="26" s="1"/>
  <c r="L617" i="26" s="1"/>
  <c r="L618" i="26" s="1"/>
  <c r="L619" i="26" s="1"/>
  <c r="L620" i="26" s="1"/>
  <c r="L621" i="26" s="1"/>
  <c r="L609" i="26"/>
  <c r="L610" i="26" s="1"/>
  <c r="M591" i="26"/>
  <c r="M593" i="26" s="1"/>
  <c r="K67" i="36" s="1"/>
  <c r="K63" i="36"/>
  <c r="M588" i="26"/>
  <c r="M589" i="26" s="1"/>
  <c r="M608" i="26" s="1"/>
  <c r="K609" i="26"/>
  <c r="K610" i="26" s="1"/>
  <c r="K611" i="26"/>
  <c r="K612" i="26" s="1"/>
  <c r="K614" i="26" s="1"/>
  <c r="K615" i="26" s="1"/>
  <c r="K616" i="26" s="1"/>
  <c r="K617" i="26" s="1"/>
  <c r="K618" i="26" s="1"/>
  <c r="K619" i="26" s="1"/>
  <c r="K620" i="26" s="1"/>
  <c r="K621" i="26" s="1"/>
  <c r="I611" i="26"/>
  <c r="I612" i="26" s="1"/>
  <c r="I614" i="26" s="1"/>
  <c r="I615" i="26" s="1"/>
  <c r="I616" i="26" s="1"/>
  <c r="I617" i="26" s="1"/>
  <c r="I618" i="26" s="1"/>
  <c r="I619" i="26" s="1"/>
  <c r="I620" i="26" s="1"/>
  <c r="I621" i="26" s="1"/>
  <c r="I609" i="26"/>
  <c r="I610" i="26" s="1"/>
  <c r="J609" i="26"/>
  <c r="J610" i="26" s="1"/>
  <c r="J611" i="26"/>
  <c r="J612" i="26" s="1"/>
  <c r="J614" i="26" s="1"/>
  <c r="J615" i="26" s="1"/>
  <c r="J616" i="26" s="1"/>
  <c r="J617" i="26" s="1"/>
  <c r="J618" i="26" s="1"/>
  <c r="J619" i="26" s="1"/>
  <c r="J620" i="26" s="1"/>
  <c r="J621" i="26" s="1"/>
  <c r="O609" i="26"/>
  <c r="O610" i="26" s="1"/>
  <c r="O611" i="26"/>
  <c r="O612" i="26" s="1"/>
  <c r="O614" i="26" s="1"/>
  <c r="O615" i="26" s="1"/>
  <c r="O616" i="26" s="1"/>
  <c r="O617" i="26" s="1"/>
  <c r="O618" i="26" s="1"/>
  <c r="O619" i="26" s="1"/>
  <c r="O620" i="26" s="1"/>
  <c r="O621" i="26" s="1"/>
  <c r="F609" i="26"/>
  <c r="F610" i="26" s="1"/>
  <c r="F611" i="26"/>
  <c r="F612" i="26" s="1"/>
  <c r="F614" i="26" s="1"/>
  <c r="F615" i="26" s="1"/>
  <c r="F616" i="26" s="1"/>
  <c r="F617" i="26" s="1"/>
  <c r="F618" i="26" s="1"/>
  <c r="F619" i="26" s="1"/>
  <c r="F620" i="26" s="1"/>
  <c r="F621" i="26" s="1"/>
  <c r="G609" i="26"/>
  <c r="G610" i="26" s="1"/>
  <c r="G611" i="26"/>
  <c r="G612" i="26" s="1"/>
  <c r="G614" i="26" s="1"/>
  <c r="G615" i="26" s="1"/>
  <c r="G616" i="26" s="1"/>
  <c r="G617" i="26" s="1"/>
  <c r="G618" i="26" s="1"/>
  <c r="G619" i="26" s="1"/>
  <c r="G620" i="26" s="1"/>
  <c r="G621" i="26" s="1"/>
  <c r="N609" i="26"/>
  <c r="N610" i="26" s="1"/>
  <c r="N611" i="26"/>
  <c r="N612" i="26" s="1"/>
  <c r="N614" i="26" s="1"/>
  <c r="N615" i="26" s="1"/>
  <c r="N616" i="26" s="1"/>
  <c r="N617" i="26" s="1"/>
  <c r="N618" i="26" s="1"/>
  <c r="N619" i="26" s="1"/>
  <c r="N620" i="26" s="1"/>
  <c r="N621" i="26" s="1"/>
  <c r="P623" i="26"/>
  <c r="P624" i="26" s="1"/>
  <c r="P628" i="26" s="1"/>
  <c r="H623" i="26"/>
  <c r="H624" i="26" s="1"/>
  <c r="H628" i="26" s="1"/>
  <c r="E611" i="26"/>
  <c r="E612" i="26" s="1"/>
  <c r="E614" i="26" s="1"/>
  <c r="E615" i="26" s="1"/>
  <c r="E616" i="26" s="1"/>
  <c r="E617" i="26" s="1"/>
  <c r="E618" i="26" s="1"/>
  <c r="E619" i="26" s="1"/>
  <c r="E620" i="26" s="1"/>
  <c r="E621" i="26" s="1"/>
  <c r="E609" i="26"/>
  <c r="E610" i="26" s="1"/>
  <c r="E623" i="26" s="1"/>
  <c r="E624" i="26" s="1"/>
  <c r="E628" i="26" s="1"/>
  <c r="H550" i="26" l="1"/>
  <c r="H551" i="26" s="1"/>
  <c r="H555" i="26" s="1"/>
  <c r="H554" i="26" s="1"/>
  <c r="H556" i="26" s="1"/>
  <c r="F550" i="26"/>
  <c r="F551" i="26" s="1"/>
  <c r="F555" i="26" s="1"/>
  <c r="F554" i="26" s="1"/>
  <c r="F556" i="26" s="1"/>
  <c r="N550" i="26"/>
  <c r="N551" i="26" s="1"/>
  <c r="N555" i="26" s="1"/>
  <c r="N554" i="26" s="1"/>
  <c r="N556" i="26" s="1"/>
  <c r="O550" i="26"/>
  <c r="O551" i="26" s="1"/>
  <c r="O555" i="26" s="1"/>
  <c r="O554" i="26" s="1"/>
  <c r="O556" i="26" s="1"/>
  <c r="G550" i="26"/>
  <c r="G551" i="26" s="1"/>
  <c r="G555" i="26" s="1"/>
  <c r="G554" i="26" s="1"/>
  <c r="G556" i="26" s="1"/>
  <c r="K550" i="26"/>
  <c r="K551" i="26" s="1"/>
  <c r="K555" i="26" s="1"/>
  <c r="K554" i="26" s="1"/>
  <c r="K556" i="26" s="1"/>
  <c r="J550" i="26"/>
  <c r="J551" i="26" s="1"/>
  <c r="J555" i="26" s="1"/>
  <c r="J554" i="26" s="1"/>
  <c r="J556" i="26" s="1"/>
  <c r="L623" i="26"/>
  <c r="L624" i="26" s="1"/>
  <c r="L628" i="26" s="1"/>
  <c r="I623" i="26"/>
  <c r="I624" i="26" s="1"/>
  <c r="I628" i="26" s="1"/>
  <c r="I633" i="26" s="1"/>
  <c r="M609" i="26"/>
  <c r="M610" i="26" s="1"/>
  <c r="M611" i="26"/>
  <c r="M612" i="26" s="1"/>
  <c r="M614" i="26" s="1"/>
  <c r="M615" i="26" s="1"/>
  <c r="M616" i="26" s="1"/>
  <c r="M617" i="26" s="1"/>
  <c r="M618" i="26" s="1"/>
  <c r="M619" i="26" s="1"/>
  <c r="M620" i="26" s="1"/>
  <c r="M621" i="26" s="1"/>
  <c r="N623" i="26"/>
  <c r="N624" i="26" s="1"/>
  <c r="N628" i="26" s="1"/>
  <c r="H633" i="26"/>
  <c r="H627" i="26"/>
  <c r="O623" i="26"/>
  <c r="O624" i="26" s="1"/>
  <c r="O628" i="26" s="1"/>
  <c r="P633" i="26"/>
  <c r="P627" i="26"/>
  <c r="G623" i="26"/>
  <c r="G624" i="26" s="1"/>
  <c r="G628" i="26" s="1"/>
  <c r="F623" i="26"/>
  <c r="F624" i="26" s="1"/>
  <c r="F628" i="26" s="1"/>
  <c r="J623" i="26"/>
  <c r="J624" i="26" s="1"/>
  <c r="J628" i="26" s="1"/>
  <c r="K623" i="26"/>
  <c r="K624" i="26" s="1"/>
  <c r="K628" i="26" s="1"/>
  <c r="E633" i="26"/>
  <c r="E627" i="26"/>
  <c r="I627" i="26" l="1"/>
  <c r="L633" i="26"/>
  <c r="L627" i="26"/>
  <c r="M623" i="26"/>
  <c r="M624" i="26" s="1"/>
  <c r="M628" i="26" s="1"/>
  <c r="F627" i="26"/>
  <c r="F633" i="26"/>
  <c r="G627" i="26"/>
  <c r="G633" i="26"/>
  <c r="K627" i="26"/>
  <c r="K633" i="26"/>
  <c r="P632" i="26"/>
  <c r="P634" i="26" s="1"/>
  <c r="N68" i="36" s="1"/>
  <c r="P629" i="26"/>
  <c r="I632" i="26"/>
  <c r="I634" i="26" s="1"/>
  <c r="G68" i="36" s="1"/>
  <c r="I629" i="26"/>
  <c r="O627" i="26"/>
  <c r="O633" i="26"/>
  <c r="N627" i="26"/>
  <c r="N633" i="26"/>
  <c r="J627" i="26"/>
  <c r="J633" i="26"/>
  <c r="H632" i="26"/>
  <c r="H634" i="26" s="1"/>
  <c r="F68" i="36" s="1"/>
  <c r="H629" i="26"/>
  <c r="E632" i="26"/>
  <c r="E634" i="26" s="1"/>
  <c r="C68" i="36" s="1"/>
  <c r="E629" i="26"/>
  <c r="L629" i="26" l="1"/>
  <c r="L632" i="26"/>
  <c r="L634" i="26" s="1"/>
  <c r="J68" i="36" s="1"/>
  <c r="M633" i="26"/>
  <c r="M627" i="26"/>
  <c r="N629" i="26"/>
  <c r="N632" i="26"/>
  <c r="N634" i="26" s="1"/>
  <c r="L68" i="36" s="1"/>
  <c r="K629" i="26"/>
  <c r="K632" i="26"/>
  <c r="K634" i="26" s="1"/>
  <c r="I68" i="36" s="1"/>
  <c r="G629" i="26"/>
  <c r="G632" i="26"/>
  <c r="G634" i="26" s="1"/>
  <c r="E68" i="36" s="1"/>
  <c r="J629" i="26"/>
  <c r="J632" i="26"/>
  <c r="J634" i="26" s="1"/>
  <c r="H68" i="36" s="1"/>
  <c r="O629" i="26"/>
  <c r="O632" i="26"/>
  <c r="O634" i="26" s="1"/>
  <c r="M68" i="36" s="1"/>
  <c r="F629" i="26"/>
  <c r="F632" i="26"/>
  <c r="F634" i="26" s="1"/>
  <c r="D68" i="36" s="1"/>
  <c r="M632" i="26" l="1"/>
  <c r="M634" i="26" s="1"/>
  <c r="K68" i="36" s="1"/>
  <c r="M629" i="26"/>
</calcChain>
</file>

<file path=xl/sharedStrings.xml><?xml version="1.0" encoding="utf-8"?>
<sst xmlns="http://schemas.openxmlformats.org/spreadsheetml/2006/main" count="1650" uniqueCount="262">
  <si>
    <t xml:space="preserve">Хранителни </t>
  </si>
  <si>
    <t>Хартия</t>
  </si>
  <si>
    <t>Картон</t>
  </si>
  <si>
    <t xml:space="preserve">Пластмаса </t>
  </si>
  <si>
    <t xml:space="preserve">Текстил </t>
  </si>
  <si>
    <t>Гума</t>
  </si>
  <si>
    <t xml:space="preserve">Кожа </t>
  </si>
  <si>
    <t xml:space="preserve">Стъкло </t>
  </si>
  <si>
    <t xml:space="preserve">Метали </t>
  </si>
  <si>
    <t xml:space="preserve">Инертни </t>
  </si>
  <si>
    <t>Опасни</t>
  </si>
  <si>
    <t>Дървесни</t>
  </si>
  <si>
    <t xml:space="preserve">Градински </t>
  </si>
  <si>
    <t>Общо образувани отпадъци, тона/год</t>
  </si>
  <si>
    <t>Домашно компостиране</t>
  </si>
  <si>
    <t>Общо</t>
  </si>
  <si>
    <t>Население обхванато в системата за разделно събиране на рециклируеми материали</t>
  </si>
  <si>
    <t>Население обхванато в системата за разделно събиране на био-отпадъци и зелени отпадъци</t>
  </si>
  <si>
    <t>Население обхванато с домашно компостиране</t>
  </si>
  <si>
    <t>%</t>
  </si>
  <si>
    <t>Население</t>
  </si>
  <si>
    <t>Количества</t>
  </si>
  <si>
    <t>тона</t>
  </si>
  <si>
    <t>Отпадъци от домакинствата</t>
  </si>
  <si>
    <t>тон</t>
  </si>
  <si>
    <t>% отпадъци от търговски обекти</t>
  </si>
  <si>
    <t>Допускания</t>
  </si>
  <si>
    <t>Работни дни седмично</t>
  </si>
  <si>
    <t>дни/седмично</t>
  </si>
  <si>
    <t>Ефективни работни часове на смяна</t>
  </si>
  <si>
    <t>часа</t>
  </si>
  <si>
    <t>Брой смени</t>
  </si>
  <si>
    <t>на ден</t>
  </si>
  <si>
    <t>Персонал</t>
  </si>
  <si>
    <t>седмици/годишно</t>
  </si>
  <si>
    <t>Болнични</t>
  </si>
  <si>
    <t>Работни дни в годината</t>
  </si>
  <si>
    <t>дни/годишно</t>
  </si>
  <si>
    <t>Необходими работни дни</t>
  </si>
  <si>
    <t>Човешки фактор</t>
  </si>
  <si>
    <t>Съдове за събиране на отпадъци</t>
  </si>
  <si>
    <t>t/m³ в контейнер</t>
  </si>
  <si>
    <t>Обем на съдовете</t>
  </si>
  <si>
    <t>тона/контейнер</t>
  </si>
  <si>
    <t>Честота на събиране годишно</t>
  </si>
  <si>
    <t>пъти годишно</t>
  </si>
  <si>
    <t>Средна запълненост на контейнерите</t>
  </si>
  <si>
    <t>Коефициент на денонощна неравнвомерност</t>
  </si>
  <si>
    <t>Необходим брой контейнери</t>
  </si>
  <si>
    <t>броя</t>
  </si>
  <si>
    <t>Резерви за поддръжка</t>
  </si>
  <si>
    <t>Среден брой контейнери</t>
  </si>
  <si>
    <t>Инвестиции</t>
  </si>
  <si>
    <t>Сметосъбиращи автомобили</t>
  </si>
  <si>
    <t>Товароносимост</t>
  </si>
  <si>
    <t>Оползотворяване на капацитета</t>
  </si>
  <si>
    <t>от капацитета</t>
  </si>
  <si>
    <t>Средно опозотворен капацитет</t>
  </si>
  <si>
    <t>Наличност на автомобилите</t>
  </si>
  <si>
    <t>Среден брой курсове на автомобил дневно</t>
  </si>
  <si>
    <t>Средно разстояние до площадката за разтоварване</t>
  </si>
  <si>
    <t>км</t>
  </si>
  <si>
    <t>Средна скорост при пътуване</t>
  </si>
  <si>
    <t>км/ч</t>
  </si>
  <si>
    <t>Средно време за път към и от площадката за разтоварване</t>
  </si>
  <si>
    <t>Средно време на площадката за разтоварване</t>
  </si>
  <si>
    <t>Общо време за пътуване/курс</t>
  </si>
  <si>
    <t>Време за натоварване за един контейнер</t>
  </si>
  <si>
    <t>минути/контейнер</t>
  </si>
  <si>
    <t>Товаримост на час</t>
  </si>
  <si>
    <t>тона/час</t>
  </si>
  <si>
    <t>Време за натоварване напълно на автомобила</t>
  </si>
  <si>
    <t>Време за натоварване напълно за първия курс</t>
  </si>
  <si>
    <t>Общо време за първия курс</t>
  </si>
  <si>
    <t>Буферно време</t>
  </si>
  <si>
    <t>Остатъчно време за втори курс</t>
  </si>
  <si>
    <t>Време за натоварване ако остава такова</t>
  </si>
  <si>
    <t>Остатъчно време за трети курс</t>
  </si>
  <si>
    <t>Остатъчно време за четвърти курс</t>
  </si>
  <si>
    <t>Остатъчно време за пети курс</t>
  </si>
  <si>
    <t>Среден брой курса дневно</t>
  </si>
  <si>
    <t>курса/дневно</t>
  </si>
  <si>
    <t>тона/дневно</t>
  </si>
  <si>
    <t>Необходими сметосъбиращи автомобили (включително резервите)</t>
  </si>
  <si>
    <t>брой</t>
  </si>
  <si>
    <t xml:space="preserve">Население </t>
  </si>
  <si>
    <t>Общо количество образувани БО</t>
  </si>
  <si>
    <t>БО от домакинствата</t>
  </si>
  <si>
    <t>Население обхванато със сини контейнери  в града</t>
  </si>
  <si>
    <t>Население обхванато с жълти контейнери  в града</t>
  </si>
  <si>
    <t>Население обслужвано с зелени контейнери в града</t>
  </si>
  <si>
    <t>Население обхванато със сини контейнери  в селата</t>
  </si>
  <si>
    <t>Население обхванато с жълти контейнери  в  селата</t>
  </si>
  <si>
    <t>Население обслужвано със зелени контейнери в селата</t>
  </si>
  <si>
    <t>Остатъци от сортиране</t>
  </si>
  <si>
    <t>density [tons/m3]</t>
  </si>
  <si>
    <t>Жълт контейнер</t>
  </si>
  <si>
    <t>Количество събрани отпадъци в жълти контейнери</t>
  </si>
  <si>
    <t>Плътност на събраните отпадъци в контейнера</t>
  </si>
  <si>
    <t>Количество разделно събрано на жител</t>
  </si>
  <si>
    <t>Сортирани хартия и картон</t>
  </si>
  <si>
    <t>Сортирани хартия и картон от бизнес субекти</t>
  </si>
  <si>
    <t>Други сортирани хартия и картон неопаковки</t>
  </si>
  <si>
    <t>Сортирани пластмасови опаковки от населението</t>
  </si>
  <si>
    <t>Сортирани пластмасови опаковки от бизнес субекти</t>
  </si>
  <si>
    <t>Други сортирани пластмаси - неопаковки</t>
  </si>
  <si>
    <t>Сортирани метални опаковки</t>
  </si>
  <si>
    <t>Сортирани метални отпадъци от бизнес субекти</t>
  </si>
  <si>
    <t>Син контейнер</t>
  </si>
  <si>
    <t>Количество събрани отпадъци в сини контейнери</t>
  </si>
  <si>
    <t>Количество събрани отпадъци в зелени контейнери</t>
  </si>
  <si>
    <t>Зелен контейнер</t>
  </si>
  <si>
    <t>Количество събрани отпадъци в зелени контейнери от бизнеса</t>
  </si>
  <si>
    <t>Общо необходими сметосъбиращи автомобили</t>
  </si>
  <si>
    <t>Общо необходими сметосъбиращи автомобили за сини и жълти контейнери</t>
  </si>
  <si>
    <t>Общо необходими сметосъбиращи автомобили за зелени контейнери</t>
  </si>
  <si>
    <t>Необходими сметосъбиращи автомобили в действие</t>
  </si>
  <si>
    <t>Население обхванато в системата за разделно събиране</t>
  </si>
  <si>
    <t>жълти и сини контейнери</t>
  </si>
  <si>
    <t>зелени контейнери</t>
  </si>
  <si>
    <t>Общо необходими сини контейнери /с включени резерви/</t>
  </si>
  <si>
    <t>Общо необходими жълти контейнери /с включени резерви/</t>
  </si>
  <si>
    <t>Общо необходими зелени контейнери /с включени резерви/</t>
  </si>
  <si>
    <t>сини контейнери</t>
  </si>
  <si>
    <t>жълти контейнери</t>
  </si>
  <si>
    <t>Брой сини контейнери за поставяне</t>
  </si>
  <si>
    <t>Брой жълти контейнери за поставяне</t>
  </si>
  <si>
    <t>Брой зелени контейнери за поставяне</t>
  </si>
  <si>
    <t>Ръст на отпадъците</t>
  </si>
  <si>
    <t>жители</t>
  </si>
  <si>
    <t>Обем на надстройката</t>
  </si>
  <si>
    <t>за автомобилите обслужващи жълти и сини контейнери</t>
  </si>
  <si>
    <t>за автомобилите обслужващи зелени контейнери</t>
  </si>
  <si>
    <t>м3</t>
  </si>
  <si>
    <t>Демографска прогноза</t>
  </si>
  <si>
    <t xml:space="preserve">Община </t>
  </si>
  <si>
    <t>Количество сортирани отпадъци в жълти контейнери</t>
  </si>
  <si>
    <t>Плътност на събраните отпадъци в контейнера (изчислена според състава на събраните отпадъци)</t>
  </si>
  <si>
    <t>Количество сортирани отпадъци в сини контейнери</t>
  </si>
  <si>
    <t>Общо население в общината</t>
  </si>
  <si>
    <t>Средно разстояние до площадката за сортиране (за града)</t>
  </si>
  <si>
    <t>Средно разстояние до площадката за сортиране (за селата)</t>
  </si>
  <si>
    <t>Обслужвано население</t>
  </si>
  <si>
    <t>Плътност на отпадъците</t>
  </si>
  <si>
    <t>Обем на отпадъците</t>
  </si>
  <si>
    <t>Среден обем на отпадъците във вдигнат контейнер</t>
  </si>
  <si>
    <t>Средно количество отпадъци от вдигнат контейнер</t>
  </si>
  <si>
    <t>Средно събран отпадъци дневно</t>
  </si>
  <si>
    <r>
      <t>м</t>
    </r>
    <r>
      <rPr>
        <i/>
        <vertAlign val="superscript"/>
        <sz val="11"/>
        <rFont val="Calibri"/>
        <family val="2"/>
        <charset val="204"/>
      </rPr>
      <t>3</t>
    </r>
    <r>
      <rPr>
        <i/>
        <sz val="11"/>
        <rFont val="Calibri"/>
        <family val="2"/>
        <charset val="204"/>
      </rPr>
      <t>/контейнер</t>
    </r>
  </si>
  <si>
    <t>Резервни контейнери за поддръжка и подмяна</t>
  </si>
  <si>
    <t xml:space="preserve">Честота на събиране </t>
  </si>
  <si>
    <t>Община</t>
  </si>
  <si>
    <t>Име</t>
  </si>
  <si>
    <t>Общи данни за системата за разделно събиране</t>
  </si>
  <si>
    <t>Общо за общината</t>
  </si>
  <si>
    <t>Контейнери</t>
  </si>
  <si>
    <t>Разделно събиране на рециклируеми материали</t>
  </si>
  <si>
    <t>тона/m3</t>
  </si>
  <si>
    <t xml:space="preserve">kg/жител/год </t>
  </si>
  <si>
    <t>Изчисления за разделно събиране</t>
  </si>
  <si>
    <t>ОПЕРАТИВНА ПРОГРАМА
„ОКОЛНА СРЕДА 2014 – 2020 г.“</t>
  </si>
  <si>
    <t>Oбщина общо</t>
  </si>
  <si>
    <t>Общо образувани отпадъци, юридически лица</t>
  </si>
  <si>
    <t>Състав на образуваните отпадъци от юридически лица</t>
  </si>
  <si>
    <t>Състав на образуваните битови отпадъци</t>
  </si>
  <si>
    <t>Общо образувани битови отпадъци</t>
  </si>
  <si>
    <t>Състав на образуваните отпадъци от домакинствата</t>
  </si>
  <si>
    <t>кафяви контейнери за биоотпадъци</t>
  </si>
  <si>
    <t>Разделно събиране на отпадъци за рециклиране</t>
  </si>
  <si>
    <t>Разделно събиране на биоотпадъци</t>
  </si>
  <si>
    <t>Население обхванато в системата за разделно събиране на биоотпадъци</t>
  </si>
  <si>
    <t>Общо необходими контейнери за разделно събиране на биоотпадъци /с включени резерви/</t>
  </si>
  <si>
    <t>Общо автомобили необходими за събиране на биоотпадъци</t>
  </si>
  <si>
    <t>Автомобили за събиране</t>
  </si>
  <si>
    <t>Разделно събрани биоотпадъци</t>
  </si>
  <si>
    <t>Количество събрани биоотпадъци</t>
  </si>
  <si>
    <t>Мярка</t>
  </si>
  <si>
    <t>Брой на контейнерите за разделно събиране, разположени на 1 площадка</t>
  </si>
  <si>
    <t>Брой работни смени</t>
  </si>
  <si>
    <t>Работни седмици в годината</t>
  </si>
  <si>
    <t>Работни дни в седмицата</t>
  </si>
  <si>
    <t>% отсъствие по болест</t>
  </si>
  <si>
    <t>Съдове за разделно събиране</t>
  </si>
  <si>
    <t>Товарни автомобили за събиране на отпадъците</t>
  </si>
  <si>
    <t>Време за разтоварване на един контейнер</t>
  </si>
  <si>
    <t>тона/год</t>
  </si>
  <si>
    <t>Общо образувани отпадъци, домакинства</t>
  </si>
  <si>
    <t>Дял на опаковките в събраните отпадъци за рециклиране</t>
  </si>
  <si>
    <t>Цели за разделно събиране за отпадъците от домакинствата, % от образуваните отпадъци от обхванатото население</t>
  </si>
  <si>
    <t>Процент разделно събрани отпадъци, събрани със съдове за разделно събиране от юридически лица</t>
  </si>
  <si>
    <t>Примеси в контейнерите за разделно събиране (остатъци при сортиране)</t>
  </si>
  <si>
    <t>Смесени отпадъци и други примеси изхвърлени в контейнерите за разделно събиране</t>
  </si>
  <si>
    <t>Коефициент на неравномерност</t>
  </si>
  <si>
    <t>Автомобили за събиране на отпадъци</t>
  </si>
  <si>
    <t>Среден брой курсове дневно</t>
  </si>
  <si>
    <t>Средно количество събрани отпадъци дневно</t>
  </si>
  <si>
    <t>Необходими автомобили за събиране, включително резерви</t>
  </si>
  <si>
    <t>Автомобили за събиране в действие</t>
  </si>
  <si>
    <t>Необходим брой нови автомобили за събиране</t>
  </si>
  <si>
    <t>Отпадъци от търговски обекти и юридически лица, събирани съвместно с отпадъците от домакинствата</t>
  </si>
  <si>
    <t>Контейнери за разполагане</t>
  </si>
  <si>
    <t>Среден брой необходими контейнери</t>
  </si>
  <si>
    <r>
      <t>м</t>
    </r>
    <r>
      <rPr>
        <i/>
        <vertAlign val="superscript"/>
        <sz val="10"/>
        <rFont val="Calibri"/>
        <family val="2"/>
      </rPr>
      <t>3</t>
    </r>
    <r>
      <rPr>
        <i/>
        <sz val="10"/>
        <rFont val="Calibri"/>
        <family val="2"/>
      </rPr>
      <t>/годишно</t>
    </r>
  </si>
  <si>
    <r>
      <t>м</t>
    </r>
    <r>
      <rPr>
        <i/>
        <vertAlign val="superscript"/>
        <sz val="10"/>
        <rFont val="Calibri"/>
        <family val="2"/>
      </rPr>
      <t>3</t>
    </r>
    <r>
      <rPr>
        <i/>
        <sz val="10"/>
        <rFont val="Calibri"/>
        <family val="2"/>
      </rPr>
      <t>/контейнер</t>
    </r>
  </si>
  <si>
    <t>Количества разделно събрани биоотпадъци</t>
  </si>
  <si>
    <t>кафяви контейнери</t>
  </si>
  <si>
    <t>за автомобилите обслужващи кафяви контейнери</t>
  </si>
  <si>
    <t xml:space="preserve">Количества разделно събрани </t>
  </si>
  <si>
    <t xml:space="preserve">Норма на натрупване, домакинства </t>
  </si>
  <si>
    <t>Съотношение образувани отпадъци юридически лица/домакинства</t>
  </si>
  <si>
    <t>Брой контейнери са разделно събиране на една площадка</t>
  </si>
  <si>
    <t>тона/м3</t>
  </si>
  <si>
    <t>отпадъци от опаковки</t>
  </si>
  <si>
    <t>Общо образувани отпадъци от домакинствата</t>
  </si>
  <si>
    <t xml:space="preserve">Население обхванато в системата за разделно събиране на биоотпадъци </t>
  </si>
  <si>
    <t>% от сортираните</t>
  </si>
  <si>
    <t>Разделно събиране</t>
  </si>
  <si>
    <t xml:space="preserve">Събиране със сини контейнери </t>
  </si>
  <si>
    <t xml:space="preserve">Събиране с жълти контейнери </t>
  </si>
  <si>
    <t xml:space="preserve">Събиране със зелени контейнери </t>
  </si>
  <si>
    <t xml:space="preserve">Събиране със жълти контейнери </t>
  </si>
  <si>
    <t>Разделно събиране на биоотпадъци с контейнери</t>
  </si>
  <si>
    <t xml:space="preserve">Разделно събиране на биоотпадъци с контейнери </t>
  </si>
  <si>
    <t>Общо необходими товарни автомобили за събиране на биоотпадъци</t>
  </si>
  <si>
    <t>малки населени места (до 3000 жители)</t>
  </si>
  <si>
    <t>големи населени места (повече от 3000 жители)</t>
  </si>
  <si>
    <t>Необходими товарни автомобили за събиране на отпадъци</t>
  </si>
  <si>
    <t>Общо товарни автомобили необходими за обслужване на сини и жълти контейнери</t>
  </si>
  <si>
    <t>Общо товарни автомобили необходими за обслужване на зелени контейнери</t>
  </si>
  <si>
    <t>Изходни данни отпадъци</t>
  </si>
  <si>
    <t>2 или 3 в зависимост от избраната система за разделно събиране</t>
  </si>
  <si>
    <t>от обема на контейнера</t>
  </si>
  <si>
    <t>от разположените контейнери</t>
  </si>
  <si>
    <t>Цел на модела</t>
  </si>
  <si>
    <t>Изчисляване на броя необходими съдове и товарни автомобили за разделно събиране на отпадъци за рециклиране и биоотпадъци в община или населено място.
Отпадъците за рециклиране включват отпадъци от хартия и картон, пластмаси, стъкло и метали.
Биоотпадъците включват хранителни и градински (зелени) отпадъци.</t>
  </si>
  <si>
    <t>Изходни данни</t>
  </si>
  <si>
    <t>Териториален обхват</t>
  </si>
  <si>
    <t>Въвеждане на изходни данни и допускания</t>
  </si>
  <si>
    <t>Полетата за въвеждане на данни са маркирани с оранжев цвят</t>
  </si>
  <si>
    <t>Предложения модел се основава на изчисления направени за община, в която населението е разделено на две зони за обслужване. В представените примерни изчисления населението на общината е разделено на малки населени места (с население по-малко от 3,000 жители) и големи населени места (с население над 3,000 жители). Такова разделние е идентично с разделнието между "град" и "села". 
Моделът допуска населението в зоните за обслужване да бъде разделено по други критерии, например според вида застрояване - "зони с високо строителство" и "зони с ниско строителство" или според честотата на обслужване на съдовете за разделно събиране.
Възможно е моделът да бъде използван за изчисляване на необходимите съдове в отделно населено място, което условно е разделено на две зони за обслужване. 
Наименованието на зоните за обслужване се въвежда в Таблица "Изходни данни", клетки А5 (за зона за обслужване 1) и А6 (за зона за обслужване 2).</t>
  </si>
  <si>
    <t>Изходните данни включват предварително зададени стойности за броя на населението, броя на населението обхванато в системите за разделно събиране на отпадъци за рециклиране, домашно компостиране и разделно събиране на биоотпадъци, поотделно за всяка от двете зони за обслужване.
За всяка от зоните за обслужване е необходимо е въвеждане на данни за:
а. общо количества на отпадъци образувани от домакинствата и от юридическите лица; 
б. състав на образуваните отпадъци от домакинствата и от юридическите лица
в. цели за разделно събиране, представени като % от образуваните отпадъци поотделно за всяка отпадъчна фракция (напр. хартия, картон, пластмаси, хранителни отпадъци и т.н.).
Следва да се има предвид, че целите за разделно събиране се отнасят единствено за отпадъците събирани разделно с контейнери и могат да бъдат различни от общите цели за рециклиране установените в законодателството.
В таблицата с изходни данни следва да бъдат въведени и стойности за очакваните примеси в контейнерите за разделно събрани отпадъци. В случай, че такава информация не е налична могат да бъдат използвани стойностите по подразбиране.</t>
  </si>
  <si>
    <t>Средно разстояние до площадката за компостиране/анаеробно разграждане</t>
  </si>
  <si>
    <t>Средно разстояние до площадката за разтоварване на разделно събрани рециклируеми отпадъци</t>
  </si>
  <si>
    <t>В Таблицата "Допускания" следва да бъдат въведени основните технически характеристики на разглежданата система за разделно събиране. Данните включват:
а. избраната система за разделно събиране - с два или три контейнера
б. средни транспортни разстояния до площадките за сортиране и компостиране/анаеробно разграждане
в. данни за броя на работните дни в годината и броя работни смени
г. обем на съдовете за разделно събиране на отпадъците
д. честота за обслужване на съдовете за разделно събиране. Моделът допуска задаване на различна честота за двете зони на обслужване 
е. % на средна запълненост на контейнерите към момента на обслужване
ж. % резервни контейнери за подмяна и поддръжка
з. товарен обем на използваните автомобили за обслужване на контейнерите. Прието е използването на автомобили с компактиране за отпадъците от хартия и картон, пластмаси и метали. Отпадъците от стъкло и биоотпадъците се транспортират без компактиране.
и. времената за разтоварване на един контейнер, в зависимост от избрания вид контейнери и система за събиране за всяка отделна фракция. Обичайните стойности за различните типове контейнери са посочени в ръководството</t>
  </si>
  <si>
    <t>Изчислителни таблици</t>
  </si>
  <si>
    <t>Таблиците "Масов баланс" и "Контейнери&amp;автомобили" включват изчислителни модели за всяка от разделно събираните фракции.
Моделът не предвижда извършването на промени във въведените формули за изчисление .</t>
  </si>
  <si>
    <t>Резултати</t>
  </si>
  <si>
    <t>Таблицата "Резултати" представя обобщена информация за количествата образувани и разделно събрани отпадъци, необходимите съдове товарни автомобили за събиране за всяка от разделно събираните фракции, зони за обслужване и общо за общината.</t>
  </si>
  <si>
    <t>ОПИСАНИЕ НА ИЗЧИСЛИТЕЛНИЯ МОДЕЛ</t>
  </si>
  <si>
    <t>Отпадъци от търговски, административни и производствени обекти</t>
  </si>
  <si>
    <t>Количества на образуваните отпадъците</t>
  </si>
  <si>
    <t>Състав на отпадъците</t>
  </si>
  <si>
    <r>
      <t xml:space="preserve">Данните за състава на битовите отпадъци се попълват според проучванията на морфологичния състав на отпадъците за съответната община.
Ако морфологичният състав на отпадъците е определен единствено за смесени битови отпадъци, съдържанието на отделните фракции трябва да бъде преизчислено за цялото количество образувани битови отпадъци, отчитайки количествата на разделно събраните фракции.
В случай, че структурана на състава (определяните фракции отпадъци) в изготвените проучвания е различна от тази в приложения модел, преди въвеждането на данни в модела  следва да бъде направено допълнително преразпределение. 
В случай, че няма информация поотделно за състава и количествата на отпадъците от хартия и картон, общото им количество може да бъде разпределено в съотношение 35%хартия и 65%картон. 
В случай, че данните за морфологичния състав на отпадъците включват фракция "други", "ситна фракция", "фракция </t>
    </r>
    <r>
      <rPr>
        <sz val="11"/>
        <rFont val="Calibri"/>
        <family val="2"/>
      </rPr>
      <t>≤</t>
    </r>
    <r>
      <rPr>
        <sz val="11"/>
        <rFont val="Arial"/>
        <family val="2"/>
      </rPr>
      <t xml:space="preserve"> 80 мм" със съдържание по-голямо от 5% от общото количество на отпадъци, количеството на тази фракция следва да бъде преразпределено по експертна оценка между фракциите "хранителни", "градински" и "инертни".</t>
    </r>
  </si>
  <si>
    <t xml:space="preserve">Общото количество на образуваните битови отпадъци в общината следва да отчита всички източници на образувани/събрани отпадъци, в т.ч.:
а. събрани смесени битови отпадъци от общинската система
б. разделно събрани отпадъци за рециклиране от системите организирани от организациите за оползотворяване на опаковки
в. други отпадъци за рециклиране събрани на територията на съответната община и предадени за рециклиране извън системите за разширена отговорност на производителите (пунктове за вторични суровини, големи търговски обекти и производствени предприятия)
г. градински (зелени) отпадъци от поддържане на паркове и други обществени места
В случай, че общината не разполага с информация за количества образувани отпадъци поотделно за отпадъците от домакинствата и юридическите лица, същите могат да бъдат определени като процент от общото количество
</t>
  </si>
  <si>
    <t>Количества разделно събрани отпадъци</t>
  </si>
  <si>
    <t>Количествата разделно събрани отпадъци се отнасят единствено до отпадъците събирани със системите за разделно събиране с контейнери, описани в модела.
Количествата не включват всички отпадъци събрани за рециклиране отпадъци на територията на общината, като:
а. градински отпадъци събрани от поддръжката на паркове и зелени площи, които се траспортират направо до площадката за компостиране
б. разделно събрани био-отпадъци събирани самостоятелно от търговски обекти и производсвени предприятия, които самостоятелно или чрез наети лица извозват отпадъците до площадката за компостиране или анаеробно разграждане
в. отпадъци събрани и предадени за рециклиране извън системите за разделно събиране организирани от общината и организациите за оползотворяване на отпадъци
г. отпадъци сепарирани за рециклиране в общинските инсталации за третиране на смесени битови отпадъци</t>
  </si>
  <si>
    <t>Изпълнение на цели за рециклиране на битови отпадъци от общината</t>
  </si>
  <si>
    <t xml:space="preserve">Въвеждане на цели за разделно събиране </t>
  </si>
  <si>
    <t>Моделът не изчислява изпълнението на целите за подготовка за повторна употреба и рециклиране от общината.
Количествата отпадъци събрани от системите за разделно събиране с контейнери прогнозирани в настоящия модел са само част от количествата за отчитане постигнатите цели за подготовка за повторна употреба и рециклиране.</t>
  </si>
  <si>
    <t>Въвеждането на цели за разделно събиране за отпадъците от домакинствата и юридическите лица в таблица "Изходни данни" се отнася единствено за отпадъците включени в системите за разделно събиране с контейнери.
Целите трябва да бъдат въведени като % от образуваните отпадъци поотделно за всяка фракция. 
Използваните цели в проценти трябва да бъдат обосновани и отчитат:
a. общите цели за подготовка за повторна употреба и рециклиране за съответната община
б. други източници и практики за събиране на отпадъци за рециклиране и биоотпадъци в общината
При въвеждане на обхванато население от системите за разделно събиране, следва да бъде отчитано, че разделното събиране на биоотпадъци е задължително от 2024 година.</t>
  </si>
  <si>
    <t xml:space="preserve">Разделно събиране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</si>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</sst>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л_в_-;\-* #,##0.00\ _л_в_-;_-* &quot;-&quot;??\ _л_в_-;_-@_-"/>
    <numFmt numFmtId="165" formatCode="0.0%"/>
    <numFmt numFmtId="166" formatCode="#,##0.0"/>
    <numFmt numFmtId="167" formatCode="#,##0.000"/>
    <numFmt numFmtId="168" formatCode="0.000"/>
    <numFmt numFmtId="169" formatCode="0.0"/>
    <numFmt numFmtId="170" formatCode="_-* #,##0.00\ _€_-;\-* #,##0.00\ _€_-;_-* &quot;-&quot;??\ _€_-;_-@_-"/>
  </numFmts>
  <fonts count="77" x14ac:knownFonts="1">
    <font>
      <sz val="10"/>
      <name val="Arial"/>
    </font>
    <font>
      <sz val="10"/>
      <name val="Arial"/>
    </font>
    <font>
      <sz val="8"/>
      <name val="Arial"/>
      <family val="2"/>
      <charset val="204"/>
    </font>
    <font>
      <sz val="10"/>
      <name val="Arial"/>
      <family val="2"/>
      <charset val="204"/>
    </font>
    <font>
      <sz val="10"/>
      <name val="Calibri"/>
      <family val="2"/>
      <charset val="204"/>
    </font>
    <font>
      <b/>
      <sz val="14"/>
      <name val="Calibri"/>
      <family val="2"/>
      <charset val="204"/>
    </font>
    <font>
      <b/>
      <sz val="10"/>
      <name val="Calibri"/>
      <family val="2"/>
      <charset val="204"/>
    </font>
    <font>
      <sz val="11"/>
      <name val="Calibri"/>
      <family val="2"/>
      <charset val="204"/>
    </font>
    <font>
      <b/>
      <sz val="11"/>
      <name val="Calibri"/>
      <family val="2"/>
      <charset val="204"/>
    </font>
    <font>
      <b/>
      <sz val="14"/>
      <color indexed="9"/>
      <name val="Calibri"/>
      <family val="2"/>
      <charset val="204"/>
    </font>
    <font>
      <i/>
      <sz val="11"/>
      <name val="Calibri"/>
      <family val="2"/>
      <charset val="204"/>
    </font>
    <font>
      <sz val="11"/>
      <color indexed="23"/>
      <name val="Calibri"/>
      <family val="2"/>
      <charset val="204"/>
    </font>
    <font>
      <i/>
      <sz val="11"/>
      <color indexed="23"/>
      <name val="Calibri"/>
      <family val="2"/>
      <charset val="204"/>
    </font>
    <font>
      <b/>
      <sz val="11"/>
      <color indexed="23"/>
      <name val="Calibri"/>
      <family val="2"/>
      <charset val="204"/>
    </font>
    <font>
      <sz val="11"/>
      <name val="Calibri"/>
      <family val="2"/>
      <charset val="204"/>
    </font>
    <font>
      <b/>
      <sz val="11"/>
      <name val="Calibri"/>
      <family val="2"/>
      <charset val="204"/>
    </font>
    <font>
      <sz val="11"/>
      <color indexed="8"/>
      <name val="Calibri"/>
      <family val="2"/>
      <charset val="204"/>
    </font>
    <font>
      <b/>
      <sz val="11"/>
      <color indexed="8"/>
      <name val="Calibri"/>
      <family val="2"/>
      <charset val="204"/>
    </font>
    <font>
      <sz val="10"/>
      <name val="Calibri"/>
      <family val="2"/>
      <charset val="204"/>
    </font>
    <font>
      <b/>
      <sz val="10"/>
      <name val="Calibri"/>
      <family val="2"/>
      <charset val="204"/>
    </font>
    <font>
      <sz val="11"/>
      <name val="Calibri"/>
      <family val="2"/>
      <charset val="204"/>
    </font>
    <font>
      <b/>
      <sz val="11"/>
      <name val="Calibri"/>
      <family val="2"/>
      <charset val="204"/>
    </font>
    <font>
      <i/>
      <sz val="11"/>
      <name val="Calibri"/>
      <family val="2"/>
      <charset val="204"/>
    </font>
    <font>
      <i/>
      <vertAlign val="superscript"/>
      <sz val="11"/>
      <name val="Calibri"/>
      <family val="2"/>
      <charset val="204"/>
    </font>
    <font>
      <sz val="12"/>
      <name val="Calibri"/>
      <family val="2"/>
      <charset val="204"/>
    </font>
    <font>
      <b/>
      <sz val="14"/>
      <name val="Calibri"/>
      <family val="2"/>
      <charset val="204"/>
    </font>
    <font>
      <b/>
      <sz val="16"/>
      <name val="Calibri"/>
      <family val="2"/>
      <charset val="204"/>
    </font>
    <font>
      <sz val="14"/>
      <color indexed="9"/>
      <name val="Calibri"/>
      <family val="2"/>
      <charset val="204"/>
    </font>
    <font>
      <sz val="14"/>
      <name val="Calibri"/>
      <family val="2"/>
      <charset val="204"/>
    </font>
    <font>
      <b/>
      <sz val="18"/>
      <name val="Calibri"/>
      <family val="2"/>
      <charset val="204"/>
    </font>
    <font>
      <b/>
      <i/>
      <sz val="11"/>
      <name val="Calibri"/>
      <family val="2"/>
      <charset val="204"/>
    </font>
    <font>
      <sz val="10"/>
      <color indexed="10"/>
      <name val="Calibri"/>
      <family val="2"/>
      <charset val="204"/>
    </font>
    <font>
      <i/>
      <sz val="10"/>
      <name val="Calibri"/>
      <family val="2"/>
      <charset val="204"/>
    </font>
    <font>
      <i/>
      <sz val="10"/>
      <color indexed="53"/>
      <name val="Calibri"/>
      <family val="2"/>
      <charset val="204"/>
    </font>
    <font>
      <sz val="11"/>
      <color indexed="55"/>
      <name val="Calibri"/>
      <family val="2"/>
      <charset val="204"/>
    </font>
    <font>
      <sz val="10"/>
      <name val="Times New Roman"/>
      <family val="1"/>
    </font>
    <font>
      <sz val="5"/>
      <name val="Times New Roman"/>
      <family val="1"/>
    </font>
    <font>
      <b/>
      <sz val="16"/>
      <color indexed="9"/>
      <name val="Corbel"/>
      <family val="2"/>
    </font>
    <font>
      <b/>
      <sz val="18"/>
      <color indexed="9"/>
      <name val="Corbel"/>
      <family val="2"/>
    </font>
    <font>
      <b/>
      <sz val="10"/>
      <color rgb="FF808080"/>
      <name val="Arial Narrow"/>
      <family val="2"/>
    </font>
    <font>
      <b/>
      <sz val="11"/>
      <color rgb="FF00B0F0"/>
      <name val="Calibri"/>
      <family val="2"/>
      <charset val="204"/>
    </font>
    <font>
      <b/>
      <sz val="11"/>
      <color rgb="FF346E3A"/>
      <name val="Calibri"/>
      <family val="2"/>
      <charset val="204"/>
    </font>
    <font>
      <b/>
      <sz val="11"/>
      <color rgb="FF346E3A"/>
      <name val="Calibri"/>
      <family val="2"/>
    </font>
    <font>
      <b/>
      <sz val="12"/>
      <color rgb="FF346E3A"/>
      <name val="Calibri"/>
      <family val="2"/>
      <charset val="204"/>
    </font>
    <font>
      <b/>
      <sz val="11"/>
      <color rgb="FF3EC6A8"/>
      <name val="Calibri"/>
      <family val="2"/>
      <charset val="204"/>
    </font>
    <font>
      <b/>
      <sz val="11"/>
      <color rgb="FF3EC6A8"/>
      <name val="Calibri"/>
      <family val="2"/>
    </font>
    <font>
      <b/>
      <sz val="11"/>
      <color rgb="FFC63E5C"/>
      <name val="Calibri"/>
      <family val="2"/>
      <charset val="204"/>
    </font>
    <font>
      <b/>
      <sz val="11"/>
      <color rgb="FF633EC6"/>
      <name val="Calibri"/>
      <family val="2"/>
      <charset val="204"/>
    </font>
    <font>
      <b/>
      <sz val="18"/>
      <color rgb="FF808080"/>
      <name val="Arial Narrow"/>
      <family val="2"/>
    </font>
    <font>
      <i/>
      <sz val="10"/>
      <name val="Times New Roman"/>
      <family val="1"/>
    </font>
    <font>
      <i/>
      <sz val="11"/>
      <name val="Calibri"/>
      <family val="2"/>
    </font>
    <font>
      <i/>
      <sz val="14"/>
      <color indexed="9"/>
      <name val="Calibri"/>
      <family val="2"/>
      <charset val="204"/>
    </font>
    <font>
      <i/>
      <sz val="11"/>
      <color indexed="10"/>
      <name val="Calibri"/>
      <family val="2"/>
      <charset val="204"/>
    </font>
    <font>
      <b/>
      <sz val="14"/>
      <color indexed="9"/>
      <name val="Calibri"/>
      <family val="2"/>
    </font>
    <font>
      <sz val="11"/>
      <name val="Calibri"/>
      <family val="2"/>
    </font>
    <font>
      <b/>
      <i/>
      <sz val="11"/>
      <name val="Calibri"/>
      <family val="2"/>
    </font>
    <font>
      <i/>
      <sz val="14"/>
      <color indexed="9"/>
      <name val="Calibri"/>
      <family val="2"/>
    </font>
    <font>
      <b/>
      <sz val="14"/>
      <name val="Calibri"/>
      <family val="2"/>
      <scheme val="minor"/>
    </font>
    <font>
      <sz val="10"/>
      <name val="Calibri"/>
      <family val="2"/>
      <scheme val="minor"/>
    </font>
    <font>
      <b/>
      <sz val="16"/>
      <color indexed="9"/>
      <name val="Calibri"/>
      <family val="2"/>
      <scheme val="minor"/>
    </font>
    <font>
      <b/>
      <sz val="11"/>
      <name val="Calibri"/>
      <family val="2"/>
      <scheme val="minor"/>
    </font>
    <font>
      <sz val="10"/>
      <color indexed="48"/>
      <name val="Calibri"/>
      <family val="2"/>
      <scheme val="minor"/>
    </font>
    <font>
      <sz val="11"/>
      <name val="Calibri"/>
      <family val="2"/>
      <scheme val="minor"/>
    </font>
    <font>
      <b/>
      <sz val="10"/>
      <name val="Calibri"/>
      <family val="2"/>
      <scheme val="minor"/>
    </font>
    <font>
      <sz val="9"/>
      <name val="Calibri"/>
      <family val="2"/>
      <scheme val="minor"/>
    </font>
    <font>
      <i/>
      <sz val="11"/>
      <name val="Calibri"/>
      <family val="2"/>
      <scheme val="minor"/>
    </font>
    <font>
      <sz val="10"/>
      <name val="Calibri"/>
      <family val="2"/>
    </font>
    <font>
      <b/>
      <sz val="10"/>
      <name val="Calibri"/>
      <family val="2"/>
    </font>
    <font>
      <i/>
      <vertAlign val="superscript"/>
      <sz val="10"/>
      <name val="Calibri"/>
      <family val="2"/>
    </font>
    <font>
      <i/>
      <sz val="10"/>
      <name val="Calibri"/>
      <family val="2"/>
    </font>
    <font>
      <i/>
      <sz val="10"/>
      <color indexed="10"/>
      <name val="Calibri"/>
      <family val="2"/>
    </font>
    <font>
      <sz val="11"/>
      <color theme="0" tint="-0.499984740745262"/>
      <name val="Calibri"/>
      <family val="2"/>
      <charset val="204"/>
    </font>
    <font>
      <i/>
      <sz val="11"/>
      <color indexed="23"/>
      <name val="Calibri"/>
      <family val="2"/>
    </font>
    <font>
      <b/>
      <sz val="18"/>
      <color rgb="FFC63E5C"/>
      <name val="Calibri"/>
      <family val="2"/>
      <charset val="204"/>
    </font>
    <font>
      <b/>
      <sz val="11"/>
      <name val="Calibri"/>
      <family val="2"/>
    </font>
    <font>
      <sz val="11"/>
      <name val="Arial"/>
      <family val="2"/>
    </font>
    <font>
      <i/>
      <sz val="16"/>
      <color indexed="9"/>
      <name val="Corbel"/>
      <family val="2"/>
    </font>
  </fonts>
  <fills count="22">
    <fill>
      <patternFill patternType="none"/>
    </fill>
    <fill>
      <patternFill patternType="gray125"/>
    </fill>
    <fill>
      <patternFill patternType="solid">
        <fgColor indexed="51"/>
        <bgColor indexed="64"/>
      </patternFill>
    </fill>
    <fill>
      <patternFill patternType="solid">
        <fgColor indexed="49"/>
        <bgColor indexed="64"/>
      </patternFill>
    </fill>
    <fill>
      <patternFill patternType="solid">
        <fgColor indexed="27"/>
        <bgColor indexed="64"/>
      </patternFill>
    </fill>
    <fill>
      <patternFill patternType="solid">
        <fgColor rgb="FFFFC000"/>
        <bgColor indexed="64"/>
      </patternFill>
    </fill>
    <fill>
      <patternFill patternType="solid">
        <fgColor rgb="FF00FFFF"/>
        <bgColor indexed="64"/>
      </patternFill>
    </fill>
    <fill>
      <patternFill patternType="solid">
        <fgColor rgb="FFFFFF99"/>
        <bgColor indexed="64"/>
      </patternFill>
    </fill>
    <fill>
      <patternFill patternType="solid">
        <fgColor rgb="FFB3D264"/>
        <bgColor indexed="64"/>
      </patternFill>
    </fill>
    <fill>
      <patternFill patternType="solid">
        <fgColor rgb="FF00B0F0"/>
        <bgColor indexed="64"/>
      </patternFill>
    </fill>
    <fill>
      <patternFill patternType="solid">
        <fgColor rgb="FF346E3A"/>
        <bgColor indexed="64"/>
      </patternFill>
    </fill>
    <fill>
      <patternFill patternType="solid">
        <fgColor rgb="FF3EC6A8"/>
        <bgColor indexed="64"/>
      </patternFill>
    </fill>
    <fill>
      <patternFill patternType="solid">
        <fgColor rgb="FFC63E5C"/>
        <bgColor indexed="64"/>
      </patternFill>
    </fill>
    <fill>
      <patternFill patternType="solid">
        <fgColor rgb="FF633EC6"/>
        <bgColor indexed="64"/>
      </patternFill>
    </fill>
    <fill>
      <patternFill patternType="solid">
        <fgColor rgb="FFF2EFFB"/>
        <bgColor indexed="64"/>
      </patternFill>
    </fill>
    <fill>
      <patternFill patternType="solid">
        <fgColor rgb="FFFFCC00"/>
        <bgColor indexed="64"/>
      </patternFill>
    </fill>
    <fill>
      <patternFill patternType="solid">
        <fgColor theme="0"/>
        <bgColor indexed="64"/>
      </patternFill>
    </fill>
    <fill>
      <patternFill patternType="solid">
        <fgColor rgb="FFE2EEC4"/>
        <bgColor indexed="64"/>
      </patternFill>
    </fill>
    <fill>
      <patternFill patternType="solid">
        <fgColor rgb="FFD1F3FF"/>
        <bgColor indexed="64"/>
      </patternFill>
    </fill>
    <fill>
      <patternFill patternType="solid">
        <fgColor rgb="FFFFF6D1"/>
        <bgColor indexed="64"/>
      </patternFill>
    </fill>
    <fill>
      <patternFill patternType="solid">
        <fgColor theme="5" tint="0.79998168889431442"/>
        <bgColor indexed="64"/>
      </patternFill>
    </fill>
    <fill>
      <patternFill patternType="solid">
        <fgColor theme="2" tint="-9.9978637043366805E-2"/>
        <bgColor indexed="64"/>
      </patternFill>
    </fill>
  </fills>
  <borders count="8">
    <border>
      <left/>
      <right/>
      <top/>
      <bottom/>
      <diagonal/>
    </border>
    <border>
      <left/>
      <right/>
      <top/>
      <bottom style="double">
        <color rgb="FF99CC00"/>
      </bottom>
      <diagonal/>
    </border>
    <border>
      <left/>
      <right/>
      <top/>
      <bottom style="thin">
        <color rgb="FFB3D264"/>
      </bottom>
      <diagonal/>
    </border>
    <border>
      <left style="thin">
        <color rgb="FFB3D264"/>
      </left>
      <right/>
      <top style="thin">
        <color rgb="FFB3D264"/>
      </top>
      <bottom style="thin">
        <color rgb="FFB3D264"/>
      </bottom>
      <diagonal/>
    </border>
    <border>
      <left/>
      <right/>
      <top style="thin">
        <color rgb="FFB3D264"/>
      </top>
      <bottom style="thin">
        <color rgb="FFB3D264"/>
      </bottom>
      <diagonal/>
    </border>
    <border>
      <left/>
      <right style="thin">
        <color rgb="FFB3D264"/>
      </right>
      <top style="thin">
        <color rgb="FFB3D264"/>
      </top>
      <bottom style="thin">
        <color rgb="FFB3D264"/>
      </bottom>
      <diagonal/>
    </border>
    <border>
      <left/>
      <right/>
      <top style="double">
        <color rgb="FF99CC00"/>
      </top>
      <bottom/>
      <diagonal/>
    </border>
    <border>
      <left style="thin">
        <color indexed="64"/>
      </left>
      <right style="thin">
        <color indexed="64"/>
      </right>
      <top style="thin">
        <color indexed="64"/>
      </top>
      <bottom style="thin">
        <color indexed="64"/>
      </bottom>
      <diagonal/>
    </border>
  </borders>
  <cellStyleXfs count="5">
    <xf numFmtId="0" fontId="0" fillId="0" borderId="0"/>
    <xf numFmtId="3" fontId="1" fillId="0" borderId="0" applyFont="0" applyFill="0" applyBorder="0" applyAlignment="0" applyProtection="0"/>
    <xf numFmtId="170" fontId="1" fillId="0" borderId="0" applyFont="0" applyFill="0" applyBorder="0" applyAlignment="0" applyProtection="0"/>
    <xf numFmtId="0" fontId="3" fillId="0" borderId="0"/>
    <xf numFmtId="9" fontId="1" fillId="0" borderId="0" applyFont="0" applyFill="0" applyBorder="0" applyAlignment="0" applyProtection="0"/>
  </cellStyleXfs>
  <cellXfs count="478">
    <xf numFmtId="0" fontId="0" fillId="0" borderId="0" xfId="0"/>
    <xf numFmtId="0" fontId="4" fillId="0" borderId="0" xfId="0" applyFont="1"/>
    <xf numFmtId="0" fontId="6" fillId="0" borderId="0" xfId="0" applyFont="1"/>
    <xf numFmtId="0" fontId="7" fillId="0" borderId="0" xfId="0" applyFont="1" applyAlignment="1">
      <alignment wrapText="1"/>
    </xf>
    <xf numFmtId="0" fontId="8" fillId="0" borderId="0" xfId="0" applyFont="1" applyAlignment="1">
      <alignment horizontal="left"/>
    </xf>
    <xf numFmtId="0" fontId="7" fillId="0" borderId="0" xfId="0" applyFont="1"/>
    <xf numFmtId="0" fontId="8" fillId="0" borderId="0" xfId="0" applyFont="1"/>
    <xf numFmtId="3" fontId="7" fillId="0" borderId="0" xfId="0" applyNumberFormat="1" applyFont="1"/>
    <xf numFmtId="0" fontId="7" fillId="0" borderId="0" xfId="0" applyFont="1" applyAlignment="1">
      <alignment horizontal="left"/>
    </xf>
    <xf numFmtId="0" fontId="7" fillId="0" borderId="0" xfId="0" applyFont="1" applyAlignment="1">
      <alignment horizontal="center"/>
    </xf>
    <xf numFmtId="3" fontId="8" fillId="0" borderId="0" xfId="0" applyNumberFormat="1" applyFont="1" applyAlignment="1">
      <alignment horizontal="left"/>
    </xf>
    <xf numFmtId="0" fontId="8" fillId="0" borderId="0" xfId="0" applyFont="1" applyAlignment="1">
      <alignment horizontal="center"/>
    </xf>
    <xf numFmtId="3" fontId="7" fillId="0" borderId="0" xfId="0" applyNumberFormat="1" applyFont="1" applyAlignment="1">
      <alignment horizontal="left"/>
    </xf>
    <xf numFmtId="4" fontId="7" fillId="0" borderId="0" xfId="0" applyNumberFormat="1" applyFont="1" applyAlignment="1">
      <alignment horizontal="center"/>
    </xf>
    <xf numFmtId="10" fontId="7" fillId="0" borderId="0" xfId="0" applyNumberFormat="1" applyFont="1" applyAlignment="1">
      <alignment horizontal="center"/>
    </xf>
    <xf numFmtId="10" fontId="7" fillId="0" borderId="0" xfId="0" applyNumberFormat="1" applyFont="1" applyAlignment="1">
      <alignment horizontal="right"/>
    </xf>
    <xf numFmtId="3" fontId="8" fillId="0" borderId="0" xfId="0" applyNumberFormat="1" applyFont="1" applyAlignment="1">
      <alignment horizontal="left" wrapText="1"/>
    </xf>
    <xf numFmtId="3" fontId="7" fillId="0" borderId="0" xfId="0" applyNumberFormat="1" applyFont="1" applyAlignment="1">
      <alignment horizontal="center"/>
    </xf>
    <xf numFmtId="9" fontId="7" fillId="0" borderId="0" xfId="0" applyNumberFormat="1" applyFont="1" applyAlignment="1">
      <alignment horizontal="center"/>
    </xf>
    <xf numFmtId="9" fontId="8" fillId="0" borderId="0" xfId="0" applyNumberFormat="1" applyFont="1" applyAlignment="1">
      <alignment horizontal="center"/>
    </xf>
    <xf numFmtId="0" fontId="8" fillId="0" borderId="0" xfId="0" applyFont="1" applyAlignment="1">
      <alignment horizontal="left" wrapText="1"/>
    </xf>
    <xf numFmtId="0" fontId="10" fillId="0" borderId="0" xfId="0" applyFont="1" applyAlignment="1">
      <alignment horizontal="right"/>
    </xf>
    <xf numFmtId="0" fontId="8" fillId="0" borderId="0" xfId="0" applyFont="1" applyAlignment="1">
      <alignment wrapText="1"/>
    </xf>
    <xf numFmtId="0" fontId="7" fillId="0" borderId="0" xfId="0" applyFont="1" applyAlignment="1">
      <alignment horizontal="right"/>
    </xf>
    <xf numFmtId="3" fontId="7" fillId="0" borderId="0" xfId="0" applyNumberFormat="1" applyFont="1" applyAlignment="1">
      <alignment horizontal="right"/>
    </xf>
    <xf numFmtId="3" fontId="8" fillId="0" borderId="0" xfId="0" applyNumberFormat="1" applyFont="1" applyAlignment="1">
      <alignment horizontal="right"/>
    </xf>
    <xf numFmtId="4" fontId="7" fillId="0" borderId="0" xfId="0" applyNumberFormat="1" applyFont="1" applyAlignment="1">
      <alignment horizontal="right"/>
    </xf>
    <xf numFmtId="10" fontId="8" fillId="0" borderId="0" xfId="0" applyNumberFormat="1" applyFont="1" applyAlignment="1">
      <alignment horizontal="right"/>
    </xf>
    <xf numFmtId="0" fontId="8" fillId="0" borderId="0" xfId="0" applyFont="1" applyAlignment="1">
      <alignment horizontal="right"/>
    </xf>
    <xf numFmtId="165" fontId="7" fillId="0" borderId="0" xfId="4" applyNumberFormat="1" applyFont="1" applyFill="1" applyBorder="1" applyAlignment="1">
      <alignment horizontal="right"/>
    </xf>
    <xf numFmtId="9" fontId="7" fillId="0" borderId="0" xfId="0" applyNumberFormat="1" applyFont="1" applyAlignment="1">
      <alignment horizontal="right"/>
    </xf>
    <xf numFmtId="167" fontId="7" fillId="0" borderId="0" xfId="0" applyNumberFormat="1" applyFont="1" applyAlignment="1">
      <alignment horizontal="right"/>
    </xf>
    <xf numFmtId="166" fontId="7" fillId="0" borderId="0" xfId="0" applyNumberFormat="1" applyFont="1" applyAlignment="1">
      <alignment horizontal="right"/>
    </xf>
    <xf numFmtId="4" fontId="8" fillId="0" borderId="0" xfId="0" applyNumberFormat="1" applyFont="1" applyAlignment="1">
      <alignment horizontal="right"/>
    </xf>
    <xf numFmtId="0" fontId="11" fillId="0" borderId="0" xfId="0" applyFont="1" applyAlignment="1">
      <alignment horizontal="left" wrapText="1" indent="2"/>
    </xf>
    <xf numFmtId="3" fontId="11" fillId="0" borderId="0" xfId="0" applyNumberFormat="1" applyFont="1" applyAlignment="1">
      <alignment horizontal="left"/>
    </xf>
    <xf numFmtId="2" fontId="11" fillId="0" borderId="0" xfId="0" applyNumberFormat="1" applyFont="1" applyAlignment="1">
      <alignment horizontal="center"/>
    </xf>
    <xf numFmtId="3" fontId="11" fillId="0" borderId="0" xfId="0" applyNumberFormat="1" applyFont="1" applyAlignment="1">
      <alignment horizontal="right"/>
    </xf>
    <xf numFmtId="0" fontId="12" fillId="0" borderId="0" xfId="0" applyFont="1" applyAlignment="1">
      <alignment horizontal="right"/>
    </xf>
    <xf numFmtId="0" fontId="11" fillId="0" borderId="0" xfId="0" applyFont="1" applyAlignment="1">
      <alignment horizontal="center"/>
    </xf>
    <xf numFmtId="0" fontId="13" fillId="0" borderId="0" xfId="0" applyFont="1" applyAlignment="1">
      <alignment wrapText="1"/>
    </xf>
    <xf numFmtId="0" fontId="14" fillId="0" borderId="0" xfId="0" applyFont="1"/>
    <xf numFmtId="0" fontId="14" fillId="0" borderId="0" xfId="3" applyFont="1" applyAlignment="1">
      <alignment wrapText="1"/>
    </xf>
    <xf numFmtId="0" fontId="15" fillId="0" borderId="0" xfId="0" applyFont="1"/>
    <xf numFmtId="3" fontId="14" fillId="0" borderId="0" xfId="0" applyNumberFormat="1" applyFont="1" applyAlignment="1">
      <alignment horizontal="left" wrapText="1"/>
    </xf>
    <xf numFmtId="0" fontId="14" fillId="0" borderId="0" xfId="0" applyFont="1" applyAlignment="1">
      <alignment horizontal="right"/>
    </xf>
    <xf numFmtId="0" fontId="15" fillId="0" borderId="0" xfId="0" applyFont="1" applyAlignment="1">
      <alignment wrapText="1"/>
    </xf>
    <xf numFmtId="0" fontId="14" fillId="0" borderId="0" xfId="3" applyFont="1" applyAlignment="1">
      <alignment horizontal="right" wrapText="1"/>
    </xf>
    <xf numFmtId="3" fontId="14" fillId="0" borderId="0" xfId="3" applyNumberFormat="1" applyFont="1" applyAlignment="1">
      <alignment horizontal="right" wrapText="1"/>
    </xf>
    <xf numFmtId="3" fontId="14" fillId="0" borderId="0" xfId="3" applyNumberFormat="1" applyFont="1" applyAlignment="1">
      <alignment horizontal="right"/>
    </xf>
    <xf numFmtId="3" fontId="15" fillId="0" borderId="0" xfId="3" applyNumberFormat="1" applyFont="1" applyAlignment="1">
      <alignment horizontal="right"/>
    </xf>
    <xf numFmtId="0" fontId="14" fillId="0" borderId="0" xfId="3" applyFont="1" applyAlignment="1">
      <alignment horizontal="right"/>
    </xf>
    <xf numFmtId="9" fontId="14" fillId="0" borderId="0" xfId="3" applyNumberFormat="1" applyFont="1" applyAlignment="1">
      <alignment horizontal="right"/>
    </xf>
    <xf numFmtId="3" fontId="14" fillId="0" borderId="0" xfId="0" applyNumberFormat="1" applyFont="1" applyAlignment="1">
      <alignment horizontal="right" wrapText="1"/>
    </xf>
    <xf numFmtId="0" fontId="18" fillId="0" borderId="0" xfId="0" applyFont="1"/>
    <xf numFmtId="0" fontId="20" fillId="0" borderId="0" xfId="0" applyFont="1"/>
    <xf numFmtId="0" fontId="21" fillId="0" borderId="0" xfId="0" applyFont="1"/>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2" fillId="0" borderId="0" xfId="0" applyFont="1" applyAlignment="1">
      <alignment horizontal="left" wrapText="1" indent="2"/>
    </xf>
    <xf numFmtId="0" fontId="21" fillId="0" borderId="0" xfId="0" applyFont="1" applyAlignment="1">
      <alignment horizontal="center"/>
    </xf>
    <xf numFmtId="0" fontId="24" fillId="0" borderId="0" xfId="0" applyFont="1"/>
    <xf numFmtId="0" fontId="20" fillId="0" borderId="0" xfId="0" applyFont="1" applyAlignment="1">
      <alignment horizontal="left" indent="2"/>
    </xf>
    <xf numFmtId="0" fontId="20" fillId="0" borderId="0" xfId="0" applyFont="1" applyAlignment="1">
      <alignment horizontal="center"/>
    </xf>
    <xf numFmtId="0" fontId="20" fillId="2" borderId="0" xfId="0" applyFont="1" applyFill="1" applyAlignment="1">
      <alignment horizontal="center"/>
    </xf>
    <xf numFmtId="169" fontId="20" fillId="2" borderId="0" xfId="0" applyNumberFormat="1" applyFont="1" applyFill="1" applyAlignment="1">
      <alignment horizontal="center"/>
    </xf>
    <xf numFmtId="9" fontId="20" fillId="2" borderId="0" xfId="0" applyNumberFormat="1" applyFont="1" applyFill="1" applyAlignment="1">
      <alignment horizontal="center"/>
    </xf>
    <xf numFmtId="0" fontId="20" fillId="0" borderId="0" xfId="0" applyFont="1" applyAlignment="1">
      <alignment horizontal="center" wrapText="1"/>
    </xf>
    <xf numFmtId="0" fontId="21" fillId="0" borderId="0" xfId="0" applyFont="1" applyAlignment="1">
      <alignment horizontal="center" wrapText="1"/>
    </xf>
    <xf numFmtId="10" fontId="20" fillId="2" borderId="0" xfId="0" applyNumberFormat="1" applyFont="1" applyFill="1" applyAlignment="1">
      <alignment horizontal="right"/>
    </xf>
    <xf numFmtId="0" fontId="22" fillId="0" borderId="0" xfId="0" applyFont="1" applyAlignment="1">
      <alignment horizontal="right"/>
    </xf>
    <xf numFmtId="0" fontId="28" fillId="0" borderId="0" xfId="0" applyFont="1" applyAlignment="1">
      <alignment horizontal="center"/>
    </xf>
    <xf numFmtId="0" fontId="21" fillId="4" borderId="0" xfId="0" applyFont="1" applyFill="1" applyAlignment="1">
      <alignment horizontal="left"/>
    </xf>
    <xf numFmtId="0" fontId="21" fillId="4" borderId="0" xfId="0" applyFont="1" applyFill="1" applyAlignment="1">
      <alignment horizontal="center"/>
    </xf>
    <xf numFmtId="10" fontId="20" fillId="4" borderId="0" xfId="0" applyNumberFormat="1" applyFont="1" applyFill="1" applyAlignment="1">
      <alignment horizontal="right"/>
    </xf>
    <xf numFmtId="3" fontId="21" fillId="4" borderId="0" xfId="0" applyNumberFormat="1" applyFont="1" applyFill="1" applyAlignment="1">
      <alignment horizontal="right"/>
    </xf>
    <xf numFmtId="0" fontId="20" fillId="4" borderId="0" xfId="0" applyFont="1" applyFill="1"/>
    <xf numFmtId="3" fontId="21" fillId="2" borderId="0" xfId="0" applyNumberFormat="1" applyFont="1" applyFill="1" applyAlignment="1">
      <alignment horizontal="right"/>
    </xf>
    <xf numFmtId="0" fontId="30" fillId="0" borderId="0" xfId="0" applyFont="1" applyAlignment="1">
      <alignment horizontal="right"/>
    </xf>
    <xf numFmtId="3" fontId="8" fillId="0" borderId="0" xfId="0" applyNumberFormat="1" applyFont="1" applyAlignment="1">
      <alignment horizontal="right" wrapText="1"/>
    </xf>
    <xf numFmtId="0" fontId="8" fillId="0" borderId="0" xfId="3" applyFont="1" applyAlignment="1">
      <alignment wrapText="1"/>
    </xf>
    <xf numFmtId="0" fontId="19" fillId="0" borderId="0" xfId="0" applyFont="1"/>
    <xf numFmtId="0" fontId="18" fillId="0" borderId="0" xfId="0" applyFont="1" applyAlignment="1">
      <alignment horizontal="right"/>
    </xf>
    <xf numFmtId="0" fontId="25" fillId="0" borderId="0" xfId="0" applyFont="1"/>
    <xf numFmtId="0" fontId="19" fillId="0" borderId="0" xfId="0" applyFont="1" applyAlignment="1">
      <alignment horizontal="right"/>
    </xf>
    <xf numFmtId="0" fontId="18" fillId="0" borderId="0" xfId="0" applyFont="1" applyAlignment="1">
      <alignment horizontal="left" wrapText="1" indent="2"/>
    </xf>
    <xf numFmtId="3" fontId="18" fillId="0" borderId="0" xfId="0" applyNumberFormat="1" applyFont="1"/>
    <xf numFmtId="3" fontId="18" fillId="0" borderId="0" xfId="0" applyNumberFormat="1" applyFont="1" applyAlignment="1">
      <alignment horizontal="right"/>
    </xf>
    <xf numFmtId="1" fontId="18" fillId="0" borderId="0" xfId="0" applyNumberFormat="1" applyFont="1"/>
    <xf numFmtId="3" fontId="18" fillId="0" borderId="0" xfId="1" applyFont="1" applyFill="1"/>
    <xf numFmtId="166" fontId="18" fillId="0" borderId="0" xfId="0" applyNumberFormat="1" applyFont="1" applyAlignment="1">
      <alignment horizontal="right"/>
    </xf>
    <xf numFmtId="2" fontId="18" fillId="0" borderId="0" xfId="0" applyNumberFormat="1" applyFont="1" applyAlignment="1">
      <alignment horizontal="right"/>
    </xf>
    <xf numFmtId="2" fontId="18" fillId="0" borderId="0" xfId="0" applyNumberFormat="1" applyFont="1"/>
    <xf numFmtId="166" fontId="19" fillId="0" borderId="0" xfId="0" applyNumberFormat="1" applyFont="1" applyAlignment="1">
      <alignment horizontal="right"/>
    </xf>
    <xf numFmtId="1" fontId="18" fillId="0" borderId="0" xfId="0" applyNumberFormat="1" applyFont="1" applyAlignment="1">
      <alignment horizontal="right"/>
    </xf>
    <xf numFmtId="3" fontId="19" fillId="0" borderId="0" xfId="0" applyNumberFormat="1" applyFont="1" applyAlignment="1">
      <alignment horizontal="right"/>
    </xf>
    <xf numFmtId="9" fontId="18" fillId="0" borderId="0" xfId="4" applyFont="1" applyFill="1"/>
    <xf numFmtId="0" fontId="34" fillId="0" borderId="0" xfId="0" applyFont="1" applyAlignment="1">
      <alignment horizontal="left" indent="2"/>
    </xf>
    <xf numFmtId="0" fontId="34" fillId="0" borderId="0" xfId="0" applyFont="1" applyAlignment="1">
      <alignment horizontal="left" wrapText="1" indent="2"/>
    </xf>
    <xf numFmtId="164" fontId="26" fillId="0" borderId="0" xfId="0" applyNumberFormat="1" applyFont="1" applyAlignment="1">
      <alignment horizontal="right"/>
    </xf>
    <xf numFmtId="9" fontId="20" fillId="4" borderId="0" xfId="4" applyFont="1" applyFill="1"/>
    <xf numFmtId="9" fontId="20" fillId="5" borderId="0" xfId="4" applyFont="1" applyFill="1"/>
    <xf numFmtId="0" fontId="5" fillId="4" borderId="0" xfId="0" applyFont="1" applyFill="1"/>
    <xf numFmtId="0" fontId="9" fillId="3" borderId="0" xfId="0" applyFont="1" applyFill="1" applyAlignment="1">
      <alignment horizontal="right" wrapText="1"/>
    </xf>
    <xf numFmtId="3" fontId="21" fillId="5" borderId="0" xfId="0" applyNumberFormat="1" applyFont="1" applyFill="1" applyAlignment="1">
      <alignment horizontal="right"/>
    </xf>
    <xf numFmtId="10" fontId="20" fillId="5" borderId="0" xfId="0" applyNumberFormat="1" applyFont="1" applyFill="1" applyAlignment="1">
      <alignment horizontal="right"/>
    </xf>
    <xf numFmtId="9" fontId="20" fillId="5" borderId="0" xfId="0" applyNumberFormat="1" applyFont="1" applyFill="1" applyAlignment="1">
      <alignment horizontal="right"/>
    </xf>
    <xf numFmtId="3" fontId="8" fillId="4" borderId="0" xfId="0" applyNumberFormat="1" applyFont="1" applyFill="1" applyAlignment="1">
      <alignment horizontal="left" wrapText="1"/>
    </xf>
    <xf numFmtId="0" fontId="8" fillId="4" borderId="0" xfId="0" applyFont="1" applyFill="1" applyAlignment="1">
      <alignment horizontal="left" wrapText="1"/>
    </xf>
    <xf numFmtId="3" fontId="7" fillId="4" borderId="0" xfId="0" applyNumberFormat="1" applyFont="1" applyFill="1" applyAlignment="1">
      <alignment horizontal="left" indent="2"/>
    </xf>
    <xf numFmtId="0" fontId="7" fillId="4" borderId="0" xfId="0" applyFont="1" applyFill="1"/>
    <xf numFmtId="0" fontId="7" fillId="0" borderId="0" xfId="3" applyFont="1" applyAlignment="1">
      <alignment wrapText="1"/>
    </xf>
    <xf numFmtId="0" fontId="8" fillId="0" borderId="0" xfId="0" applyFont="1" applyAlignment="1">
      <alignment horizontal="left" wrapText="1" indent="2"/>
    </xf>
    <xf numFmtId="0" fontId="29" fillId="0" borderId="0" xfId="0" applyFont="1" applyAlignment="1">
      <alignment horizontal="right"/>
    </xf>
    <xf numFmtId="0" fontId="7" fillId="0" borderId="0" xfId="0" applyFont="1" applyAlignment="1">
      <alignment horizontal="left" wrapText="1" indent="2"/>
    </xf>
    <xf numFmtId="3" fontId="7" fillId="0" borderId="0" xfId="0" applyNumberFormat="1" applyFont="1" applyAlignment="1">
      <alignment horizontal="left" wrapText="1" indent="2"/>
    </xf>
    <xf numFmtId="0" fontId="15" fillId="0" borderId="0" xfId="0" applyFont="1" applyAlignment="1">
      <alignment horizontal="right"/>
    </xf>
    <xf numFmtId="0" fontId="27" fillId="0" borderId="0" xfId="0" applyFont="1" applyAlignment="1">
      <alignment horizontal="left"/>
    </xf>
    <xf numFmtId="0" fontId="5" fillId="0" borderId="0" xfId="3" applyFont="1"/>
    <xf numFmtId="0" fontId="7" fillId="6" borderId="0" xfId="0" applyFont="1" applyFill="1" applyAlignment="1">
      <alignment wrapText="1"/>
    </xf>
    <xf numFmtId="0" fontId="14" fillId="6" borderId="0" xfId="0" applyFont="1" applyFill="1" applyAlignment="1">
      <alignment horizontal="right"/>
    </xf>
    <xf numFmtId="0" fontId="7" fillId="7" borderId="0" xfId="0" applyFont="1" applyFill="1" applyAlignment="1">
      <alignment wrapText="1"/>
    </xf>
    <xf numFmtId="0" fontId="7" fillId="6" borderId="0" xfId="0" applyFont="1" applyFill="1" applyAlignment="1">
      <alignment horizontal="left" wrapText="1" indent="2"/>
    </xf>
    <xf numFmtId="0" fontId="7" fillId="7" borderId="0" xfId="0" applyFont="1" applyFill="1" applyAlignment="1">
      <alignment horizontal="left" wrapText="1" indent="2"/>
    </xf>
    <xf numFmtId="3" fontId="7" fillId="6" borderId="0" xfId="0" applyNumberFormat="1" applyFont="1" applyFill="1" applyAlignment="1">
      <alignment wrapText="1"/>
    </xf>
    <xf numFmtId="3" fontId="7" fillId="7" borderId="0" xfId="0" applyNumberFormat="1" applyFont="1" applyFill="1" applyAlignment="1">
      <alignment wrapText="1"/>
    </xf>
    <xf numFmtId="1" fontId="14" fillId="6" borderId="0" xfId="0" applyNumberFormat="1" applyFont="1" applyFill="1" applyAlignment="1">
      <alignment horizontal="right"/>
    </xf>
    <xf numFmtId="1" fontId="7" fillId="7" borderId="0" xfId="0" applyNumberFormat="1" applyFont="1" applyFill="1" applyAlignment="1">
      <alignment wrapText="1"/>
    </xf>
    <xf numFmtId="1" fontId="14" fillId="0" borderId="0" xfId="0" applyNumberFormat="1" applyFont="1" applyAlignment="1">
      <alignment horizontal="right"/>
    </xf>
    <xf numFmtId="1" fontId="14" fillId="0" borderId="0" xfId="3" applyNumberFormat="1" applyFont="1" applyAlignment="1">
      <alignment horizontal="right"/>
    </xf>
    <xf numFmtId="1" fontId="7" fillId="6" borderId="0" xfId="0" applyNumberFormat="1" applyFont="1" applyFill="1" applyAlignment="1">
      <alignment wrapText="1"/>
    </xf>
    <xf numFmtId="3" fontId="14" fillId="0" borderId="0" xfId="0" applyNumberFormat="1" applyFont="1" applyAlignment="1">
      <alignment horizontal="right"/>
    </xf>
    <xf numFmtId="1" fontId="19" fillId="0" borderId="0" xfId="0" applyNumberFormat="1" applyFont="1"/>
    <xf numFmtId="0" fontId="35" fillId="0" borderId="0" xfId="0" applyFont="1" applyAlignment="1">
      <alignment vertical="center" wrapText="1"/>
    </xf>
    <xf numFmtId="0" fontId="39" fillId="0" borderId="1" xfId="0" applyFont="1" applyBorder="1" applyAlignment="1">
      <alignment horizontal="center" vertical="center" wrapText="1"/>
    </xf>
    <xf numFmtId="0" fontId="35" fillId="0" borderId="1" xfId="0" applyFont="1" applyBorder="1" applyAlignment="1">
      <alignment vertical="center" wrapText="1"/>
    </xf>
    <xf numFmtId="0" fontId="27" fillId="9" borderId="0" xfId="0" applyFont="1" applyFill="1" applyAlignment="1">
      <alignment horizontal="left"/>
    </xf>
    <xf numFmtId="0" fontId="27" fillId="9" borderId="0" xfId="0" applyFont="1" applyFill="1" applyAlignment="1">
      <alignment horizontal="right"/>
    </xf>
    <xf numFmtId="0" fontId="37" fillId="8" borderId="0" xfId="0" applyFont="1" applyFill="1" applyAlignment="1">
      <alignment horizontal="right" wrapText="1"/>
    </xf>
    <xf numFmtId="0" fontId="38" fillId="8" borderId="0" xfId="0" applyFont="1" applyFill="1" applyAlignment="1">
      <alignment horizontal="right" wrapText="1"/>
    </xf>
    <xf numFmtId="0" fontId="38" fillId="9" borderId="0" xfId="0" applyFont="1" applyFill="1" applyAlignment="1">
      <alignment horizontal="left"/>
    </xf>
    <xf numFmtId="0" fontId="40" fillId="0" borderId="0" xfId="0" applyFont="1" applyAlignment="1">
      <alignment horizontal="left"/>
    </xf>
    <xf numFmtId="3" fontId="40" fillId="0" borderId="0" xfId="0" applyNumberFormat="1" applyFont="1" applyAlignment="1">
      <alignment horizontal="left" wrapText="1"/>
    </xf>
    <xf numFmtId="0" fontId="40" fillId="0" borderId="0" xfId="0" applyFont="1" applyAlignment="1">
      <alignment horizontal="left" wrapText="1"/>
    </xf>
    <xf numFmtId="3" fontId="40" fillId="0" borderId="0" xfId="0" applyNumberFormat="1" applyFont="1" applyAlignment="1">
      <alignment horizontal="left"/>
    </xf>
    <xf numFmtId="0" fontId="38" fillId="10" borderId="0" xfId="0" applyFont="1" applyFill="1" applyAlignment="1">
      <alignment horizontal="left"/>
    </xf>
    <xf numFmtId="0" fontId="27" fillId="10" borderId="0" xfId="0" applyFont="1" applyFill="1" applyAlignment="1">
      <alignment horizontal="left"/>
    </xf>
    <xf numFmtId="0" fontId="41" fillId="0" borderId="0" xfId="0" applyFont="1" applyAlignment="1">
      <alignment horizontal="left" wrapText="1"/>
    </xf>
    <xf numFmtId="0" fontId="41" fillId="0" borderId="0" xfId="0" applyFont="1" applyAlignment="1">
      <alignment horizontal="left"/>
    </xf>
    <xf numFmtId="3" fontId="41" fillId="0" borderId="0" xfId="0" applyNumberFormat="1" applyFont="1" applyAlignment="1">
      <alignment wrapText="1"/>
    </xf>
    <xf numFmtId="0" fontId="42" fillId="0" borderId="0" xfId="0" applyFont="1"/>
    <xf numFmtId="3" fontId="43" fillId="0" borderId="0" xfId="0" applyNumberFormat="1" applyFont="1" applyAlignment="1">
      <alignment wrapText="1"/>
    </xf>
    <xf numFmtId="0" fontId="38" fillId="11" borderId="0" xfId="0" applyFont="1" applyFill="1" applyAlignment="1">
      <alignment horizontal="left"/>
    </xf>
    <xf numFmtId="0" fontId="27" fillId="11" borderId="0" xfId="0" applyFont="1" applyFill="1" applyAlignment="1">
      <alignment horizontal="left"/>
    </xf>
    <xf numFmtId="0" fontId="44" fillId="0" borderId="0" xfId="0" applyFont="1" applyAlignment="1">
      <alignment horizontal="left"/>
    </xf>
    <xf numFmtId="0" fontId="44" fillId="0" borderId="0" xfId="0" applyFont="1" applyAlignment="1">
      <alignment horizontal="left" wrapText="1"/>
    </xf>
    <xf numFmtId="0" fontId="44" fillId="0" borderId="0" xfId="0" applyFont="1"/>
    <xf numFmtId="3" fontId="44" fillId="0" borderId="0" xfId="0" applyNumberFormat="1" applyFont="1" applyAlignment="1">
      <alignment wrapText="1"/>
    </xf>
    <xf numFmtId="3" fontId="45" fillId="0" borderId="0" xfId="0" applyNumberFormat="1" applyFont="1" applyAlignment="1">
      <alignment wrapText="1"/>
    </xf>
    <xf numFmtId="0" fontId="38" fillId="12" borderId="0" xfId="0" applyFont="1" applyFill="1" applyAlignment="1">
      <alignment horizontal="left"/>
    </xf>
    <xf numFmtId="0" fontId="27" fillId="12" borderId="0" xfId="0" applyFont="1" applyFill="1" applyAlignment="1">
      <alignment horizontal="left"/>
    </xf>
    <xf numFmtId="3" fontId="46" fillId="0" borderId="0" xfId="0" applyNumberFormat="1" applyFont="1" applyAlignment="1">
      <alignment horizontal="left" wrapText="1"/>
    </xf>
    <xf numFmtId="0" fontId="39" fillId="0" borderId="0" xfId="0" applyFont="1" applyAlignment="1">
      <alignment horizontal="center" vertical="center" wrapText="1"/>
    </xf>
    <xf numFmtId="0" fontId="38" fillId="8" borderId="0" xfId="0" applyFont="1" applyFill="1" applyAlignment="1">
      <alignment horizontal="left" wrapText="1"/>
    </xf>
    <xf numFmtId="0" fontId="26" fillId="0" borderId="0" xfId="0" applyFont="1" applyAlignment="1">
      <alignment horizontal="right"/>
    </xf>
    <xf numFmtId="0" fontId="20" fillId="0" borderId="2" xfId="0" applyFont="1" applyBorder="1"/>
    <xf numFmtId="0" fontId="37" fillId="8" borderId="0" xfId="0" applyFont="1" applyFill="1" applyAlignment="1">
      <alignment horizontal="left" wrapText="1"/>
    </xf>
    <xf numFmtId="0" fontId="38" fillId="13" borderId="0" xfId="0" applyFont="1" applyFill="1" applyAlignment="1">
      <alignment horizontal="left"/>
    </xf>
    <xf numFmtId="0" fontId="27" fillId="13" borderId="0" xfId="0" applyFont="1" applyFill="1" applyAlignment="1">
      <alignment horizontal="left"/>
    </xf>
    <xf numFmtId="0" fontId="27" fillId="13" borderId="0" xfId="0" applyFont="1" applyFill="1" applyAlignment="1">
      <alignment horizontal="right"/>
    </xf>
    <xf numFmtId="0" fontId="47" fillId="0" borderId="0" xfId="0" applyFont="1" applyAlignment="1">
      <alignment horizontal="left"/>
    </xf>
    <xf numFmtId="3" fontId="47" fillId="0" borderId="0" xfId="0" applyNumberFormat="1" applyFont="1" applyAlignment="1">
      <alignment horizontal="left" wrapText="1"/>
    </xf>
    <xf numFmtId="0" fontId="47" fillId="0" borderId="0" xfId="0" applyFont="1" applyAlignment="1">
      <alignment horizontal="left" wrapText="1"/>
    </xf>
    <xf numFmtId="3" fontId="47" fillId="0" borderId="0" xfId="0" applyNumberFormat="1" applyFont="1" applyAlignment="1">
      <alignment horizontal="left"/>
    </xf>
    <xf numFmtId="0" fontId="20" fillId="14" borderId="0" xfId="0" applyFont="1" applyFill="1"/>
    <xf numFmtId="3" fontId="17" fillId="14" borderId="0" xfId="0" applyNumberFormat="1" applyFont="1" applyFill="1" applyAlignment="1">
      <alignment horizontal="left" wrapText="1"/>
    </xf>
    <xf numFmtId="0" fontId="21" fillId="14" borderId="0" xfId="0" applyFont="1" applyFill="1" applyAlignment="1">
      <alignment horizontal="left"/>
    </xf>
    <xf numFmtId="3" fontId="16" fillId="14" borderId="0" xfId="0" applyNumberFormat="1" applyFont="1" applyFill="1" applyAlignment="1">
      <alignment horizontal="left" indent="2"/>
    </xf>
    <xf numFmtId="0" fontId="16" fillId="14" borderId="0" xfId="0" applyFont="1" applyFill="1"/>
    <xf numFmtId="0" fontId="5" fillId="14" borderId="0" xfId="0" applyFont="1" applyFill="1"/>
    <xf numFmtId="3" fontId="20" fillId="14" borderId="0" xfId="0" applyNumberFormat="1" applyFont="1" applyFill="1" applyAlignment="1">
      <alignment horizontal="left" indent="2"/>
    </xf>
    <xf numFmtId="0" fontId="20" fillId="14" borderId="0" xfId="0" applyFont="1" applyFill="1" applyAlignment="1">
      <alignment horizontal="left" indent="2"/>
    </xf>
    <xf numFmtId="0" fontId="21" fillId="14" borderId="0" xfId="0" applyFont="1" applyFill="1" applyAlignment="1">
      <alignment horizontal="center"/>
    </xf>
    <xf numFmtId="10" fontId="20" fillId="14" borderId="0" xfId="0" applyNumberFormat="1" applyFont="1" applyFill="1" applyAlignment="1">
      <alignment horizontal="right"/>
    </xf>
    <xf numFmtId="9" fontId="20" fillId="14" borderId="0" xfId="0" applyNumberFormat="1" applyFont="1" applyFill="1" applyAlignment="1">
      <alignment horizontal="right"/>
    </xf>
    <xf numFmtId="0" fontId="20" fillId="15" borderId="0" xfId="0" applyFont="1" applyFill="1" applyAlignment="1">
      <alignment horizontal="center"/>
    </xf>
    <xf numFmtId="10" fontId="20" fillId="15" borderId="0" xfId="0" applyNumberFormat="1" applyFont="1" applyFill="1" applyAlignment="1">
      <alignment horizontal="right"/>
    </xf>
    <xf numFmtId="0" fontId="14" fillId="0" borderId="3" xfId="3" applyFont="1" applyBorder="1" applyAlignment="1">
      <alignment horizontal="right" wrapText="1"/>
    </xf>
    <xf numFmtId="0" fontId="14" fillId="0" borderId="4" xfId="3" applyFont="1" applyBorder="1" applyAlignment="1">
      <alignment wrapText="1"/>
    </xf>
    <xf numFmtId="0" fontId="14" fillId="0" borderId="5" xfId="3" applyFont="1" applyBorder="1" applyAlignment="1">
      <alignment horizontal="right" wrapText="1"/>
    </xf>
    <xf numFmtId="0" fontId="37" fillId="16" borderId="0" xfId="0" applyFont="1" applyFill="1" applyAlignment="1">
      <alignment horizontal="left" wrapText="1"/>
    </xf>
    <xf numFmtId="0" fontId="37" fillId="16" borderId="0" xfId="0" applyFont="1" applyFill="1" applyAlignment="1">
      <alignment horizontal="right" wrapText="1"/>
    </xf>
    <xf numFmtId="0" fontId="14" fillId="16" borderId="0" xfId="0" applyFont="1" applyFill="1"/>
    <xf numFmtId="0" fontId="37" fillId="10" borderId="0" xfId="0" applyFont="1" applyFill="1" applyAlignment="1">
      <alignment horizontal="left" wrapText="1"/>
    </xf>
    <xf numFmtId="0" fontId="7" fillId="8" borderId="0" xfId="0" applyFont="1" applyFill="1" applyAlignment="1">
      <alignment wrapText="1"/>
    </xf>
    <xf numFmtId="0" fontId="7" fillId="17" borderId="0" xfId="0" applyFont="1" applyFill="1" applyAlignment="1">
      <alignment wrapText="1"/>
    </xf>
    <xf numFmtId="0" fontId="14" fillId="17" borderId="0" xfId="3" applyFont="1" applyFill="1" applyAlignment="1">
      <alignment horizontal="right" wrapText="1"/>
    </xf>
    <xf numFmtId="1" fontId="14" fillId="17" borderId="0" xfId="3" applyNumberFormat="1" applyFont="1" applyFill="1" applyAlignment="1">
      <alignment horizontal="right" wrapText="1"/>
    </xf>
    <xf numFmtId="3" fontId="14" fillId="17" borderId="0" xfId="3" applyNumberFormat="1" applyFont="1" applyFill="1" applyAlignment="1">
      <alignment horizontal="right"/>
    </xf>
    <xf numFmtId="3" fontId="14" fillId="17" borderId="0" xfId="3" applyNumberFormat="1" applyFont="1" applyFill="1" applyAlignment="1">
      <alignment horizontal="right" wrapText="1"/>
    </xf>
    <xf numFmtId="0" fontId="7" fillId="8" borderId="0" xfId="0" applyFont="1" applyFill="1" applyAlignment="1">
      <alignment horizontal="left" wrapText="1" indent="2"/>
    </xf>
    <xf numFmtId="1" fontId="7" fillId="8" borderId="0" xfId="0" applyNumberFormat="1" applyFont="1" applyFill="1" applyAlignment="1">
      <alignment wrapText="1"/>
    </xf>
    <xf numFmtId="3" fontId="7" fillId="8" borderId="0" xfId="0" applyNumberFormat="1" applyFont="1" applyFill="1" applyAlignment="1">
      <alignment wrapText="1"/>
    </xf>
    <xf numFmtId="0" fontId="37" fillId="9" borderId="0" xfId="0" applyFont="1" applyFill="1" applyAlignment="1">
      <alignment horizontal="left" wrapText="1"/>
    </xf>
    <xf numFmtId="0" fontId="37" fillId="9" borderId="0" xfId="0" applyFont="1" applyFill="1" applyAlignment="1">
      <alignment horizontal="right" wrapText="1"/>
    </xf>
    <xf numFmtId="0" fontId="18" fillId="9" borderId="0" xfId="0" applyFont="1" applyFill="1"/>
    <xf numFmtId="0" fontId="18" fillId="9" borderId="0" xfId="0" applyFont="1" applyFill="1" applyAlignment="1">
      <alignment horizontal="right"/>
    </xf>
    <xf numFmtId="0" fontId="19" fillId="18" borderId="0" xfId="0" applyFont="1" applyFill="1"/>
    <xf numFmtId="3" fontId="19" fillId="18" borderId="0" xfId="0" applyNumberFormat="1" applyFont="1" applyFill="1" applyAlignment="1">
      <alignment horizontal="right"/>
    </xf>
    <xf numFmtId="0" fontId="18" fillId="18" borderId="0" xfId="0" applyFont="1" applyFill="1"/>
    <xf numFmtId="0" fontId="18" fillId="18" borderId="0" xfId="0" applyFont="1" applyFill="1" applyAlignment="1">
      <alignment horizontal="right"/>
    </xf>
    <xf numFmtId="0" fontId="19" fillId="18" borderId="0" xfId="0" applyFont="1" applyFill="1" applyAlignment="1">
      <alignment horizontal="right"/>
    </xf>
    <xf numFmtId="3" fontId="18" fillId="18" borderId="0" xfId="0" applyNumberFormat="1" applyFont="1" applyFill="1" applyAlignment="1">
      <alignment horizontal="right"/>
    </xf>
    <xf numFmtId="9" fontId="18" fillId="18" borderId="0" xfId="4" applyFont="1" applyFill="1" applyAlignment="1">
      <alignment horizontal="right"/>
    </xf>
    <xf numFmtId="0" fontId="31" fillId="18" borderId="0" xfId="0" applyFont="1" applyFill="1"/>
    <xf numFmtId="168" fontId="18" fillId="18" borderId="0" xfId="0" applyNumberFormat="1" applyFont="1" applyFill="1" applyAlignment="1">
      <alignment horizontal="right"/>
    </xf>
    <xf numFmtId="168" fontId="19" fillId="18" borderId="0" xfId="0" applyNumberFormat="1" applyFont="1" applyFill="1" applyAlignment="1">
      <alignment horizontal="right"/>
    </xf>
    <xf numFmtId="3" fontId="18" fillId="18" borderId="0" xfId="0" applyNumberFormat="1" applyFont="1" applyFill="1"/>
    <xf numFmtId="9" fontId="18" fillId="18" borderId="0" xfId="0" applyNumberFormat="1" applyFont="1" applyFill="1"/>
    <xf numFmtId="9" fontId="18" fillId="18" borderId="0" xfId="4" applyFont="1" applyFill="1"/>
    <xf numFmtId="1" fontId="18" fillId="18" borderId="0" xfId="0" applyNumberFormat="1" applyFont="1" applyFill="1"/>
    <xf numFmtId="0" fontId="33" fillId="18" borderId="0" xfId="0" applyFont="1" applyFill="1" applyAlignment="1">
      <alignment horizontal="right"/>
    </xf>
    <xf numFmtId="4" fontId="32" fillId="18" borderId="0" xfId="0" applyNumberFormat="1" applyFont="1" applyFill="1" applyAlignment="1">
      <alignment horizontal="right"/>
    </xf>
    <xf numFmtId="167" fontId="32" fillId="18" borderId="0" xfId="0" applyNumberFormat="1" applyFont="1" applyFill="1" applyAlignment="1">
      <alignment horizontal="right"/>
    </xf>
    <xf numFmtId="167" fontId="18" fillId="18" borderId="0" xfId="2" applyNumberFormat="1" applyFont="1" applyFill="1" applyBorder="1"/>
    <xf numFmtId="9" fontId="18" fillId="18" borderId="0" xfId="4" applyFont="1" applyFill="1" applyBorder="1"/>
    <xf numFmtId="166" fontId="18" fillId="18" borderId="0" xfId="0" applyNumberFormat="1" applyFont="1" applyFill="1"/>
    <xf numFmtId="4" fontId="18" fillId="18" borderId="0" xfId="0" applyNumberFormat="1" applyFont="1" applyFill="1"/>
    <xf numFmtId="167" fontId="18" fillId="18" borderId="0" xfId="0" applyNumberFormat="1" applyFont="1" applyFill="1"/>
    <xf numFmtId="2" fontId="18" fillId="18" borderId="0" xfId="0" applyNumberFormat="1" applyFont="1" applyFill="1"/>
    <xf numFmtId="3" fontId="18" fillId="18" borderId="0" xfId="1" applyFont="1" applyFill="1"/>
    <xf numFmtId="166" fontId="18" fillId="18" borderId="0" xfId="0" applyNumberFormat="1" applyFont="1" applyFill="1" applyAlignment="1">
      <alignment horizontal="right"/>
    </xf>
    <xf numFmtId="0" fontId="18" fillId="15" borderId="0" xfId="0" applyFont="1" applyFill="1"/>
    <xf numFmtId="0" fontId="18" fillId="15" borderId="0" xfId="0" applyFont="1" applyFill="1" applyAlignment="1">
      <alignment horizontal="right"/>
    </xf>
    <xf numFmtId="0" fontId="18" fillId="19" borderId="0" xfId="0" applyFont="1" applyFill="1"/>
    <xf numFmtId="3" fontId="18" fillId="19" borderId="0" xfId="0" applyNumberFormat="1" applyFont="1" applyFill="1" applyAlignment="1">
      <alignment horizontal="right"/>
    </xf>
    <xf numFmtId="3" fontId="19" fillId="19" borderId="0" xfId="0" applyNumberFormat="1" applyFont="1" applyFill="1" applyAlignment="1">
      <alignment horizontal="right"/>
    </xf>
    <xf numFmtId="0" fontId="18" fillId="19" borderId="0" xfId="0" applyFont="1" applyFill="1" applyAlignment="1">
      <alignment horizontal="right"/>
    </xf>
    <xf numFmtId="0" fontId="19" fillId="19" borderId="0" xfId="0" applyFont="1" applyFill="1"/>
    <xf numFmtId="9" fontId="18" fillId="19" borderId="0" xfId="0" applyNumberFormat="1" applyFont="1" applyFill="1" applyAlignment="1">
      <alignment horizontal="right"/>
    </xf>
    <xf numFmtId="0" fontId="31" fillId="19" borderId="0" xfId="0" applyFont="1" applyFill="1"/>
    <xf numFmtId="168" fontId="18" fillId="19" borderId="0" xfId="0" applyNumberFormat="1" applyFont="1" applyFill="1" applyAlignment="1">
      <alignment horizontal="right"/>
    </xf>
    <xf numFmtId="9" fontId="18" fillId="19" borderId="0" xfId="4" applyFont="1" applyFill="1"/>
    <xf numFmtId="3" fontId="18" fillId="19" borderId="0" xfId="0" applyNumberFormat="1" applyFont="1" applyFill="1"/>
    <xf numFmtId="1" fontId="18" fillId="19" borderId="0" xfId="0" applyNumberFormat="1" applyFont="1" applyFill="1"/>
    <xf numFmtId="9" fontId="18" fillId="19" borderId="0" xfId="0" applyNumberFormat="1" applyFont="1" applyFill="1"/>
    <xf numFmtId="0" fontId="33" fillId="19" borderId="0" xfId="0" applyFont="1" applyFill="1" applyAlignment="1">
      <alignment horizontal="right"/>
    </xf>
    <xf numFmtId="4" fontId="32" fillId="19" borderId="0" xfId="0" applyNumberFormat="1" applyFont="1" applyFill="1" applyAlignment="1">
      <alignment horizontal="right"/>
    </xf>
    <xf numFmtId="167" fontId="32" fillId="19" borderId="0" xfId="0" applyNumberFormat="1" applyFont="1" applyFill="1" applyAlignment="1">
      <alignment horizontal="right"/>
    </xf>
    <xf numFmtId="167" fontId="18" fillId="19" borderId="0" xfId="2" applyNumberFormat="1" applyFont="1" applyFill="1" applyBorder="1"/>
    <xf numFmtId="9" fontId="18" fillId="19" borderId="0" xfId="4" applyFont="1" applyFill="1" applyBorder="1"/>
    <xf numFmtId="166" fontId="18" fillId="19" borderId="0" xfId="0" applyNumberFormat="1" applyFont="1" applyFill="1"/>
    <xf numFmtId="4" fontId="18" fillId="19" borderId="0" xfId="0" applyNumberFormat="1" applyFont="1" applyFill="1"/>
    <xf numFmtId="167" fontId="18" fillId="19" borderId="0" xfId="0" applyNumberFormat="1" applyFont="1" applyFill="1"/>
    <xf numFmtId="2" fontId="18" fillId="19" borderId="0" xfId="0" applyNumberFormat="1" applyFont="1" applyFill="1"/>
    <xf numFmtId="3" fontId="18" fillId="19" borderId="0" xfId="1" applyFont="1" applyFill="1"/>
    <xf numFmtId="166" fontId="18" fillId="19" borderId="0" xfId="0" applyNumberFormat="1" applyFont="1" applyFill="1" applyAlignment="1">
      <alignment horizontal="right"/>
    </xf>
    <xf numFmtId="0" fontId="18" fillId="8" borderId="0" xfId="0" applyFont="1" applyFill="1"/>
    <xf numFmtId="0" fontId="18" fillId="8" borderId="0" xfId="0" applyFont="1" applyFill="1" applyAlignment="1">
      <alignment horizontal="right"/>
    </xf>
    <xf numFmtId="0" fontId="18" fillId="17" borderId="0" xfId="0" applyFont="1" applyFill="1"/>
    <xf numFmtId="0" fontId="18" fillId="17" borderId="0" xfId="0" applyFont="1" applyFill="1" applyAlignment="1">
      <alignment horizontal="right"/>
    </xf>
    <xf numFmtId="0" fontId="19" fillId="17" borderId="0" xfId="0" applyFont="1" applyFill="1"/>
    <xf numFmtId="3" fontId="19" fillId="17" borderId="0" xfId="0" applyNumberFormat="1" applyFont="1" applyFill="1" applyAlignment="1">
      <alignment horizontal="right"/>
    </xf>
    <xf numFmtId="0" fontId="19" fillId="17" borderId="0" xfId="0" applyFont="1" applyFill="1" applyAlignment="1">
      <alignment horizontal="right"/>
    </xf>
    <xf numFmtId="3" fontId="18" fillId="17" borderId="0" xfId="0" applyNumberFormat="1" applyFont="1" applyFill="1" applyAlignment="1">
      <alignment horizontal="right"/>
    </xf>
    <xf numFmtId="9" fontId="18" fillId="17" borderId="0" xfId="0" applyNumberFormat="1" applyFont="1" applyFill="1" applyAlignment="1">
      <alignment horizontal="right"/>
    </xf>
    <xf numFmtId="0" fontId="31" fillId="17" borderId="0" xfId="0" applyFont="1" applyFill="1"/>
    <xf numFmtId="168" fontId="18" fillId="17" borderId="0" xfId="0" applyNumberFormat="1" applyFont="1" applyFill="1" applyAlignment="1">
      <alignment horizontal="right"/>
    </xf>
    <xf numFmtId="168" fontId="19" fillId="17" borderId="0" xfId="0" applyNumberFormat="1" applyFont="1" applyFill="1" applyAlignment="1">
      <alignment horizontal="right"/>
    </xf>
    <xf numFmtId="9" fontId="18" fillId="17" borderId="0" xfId="0" applyNumberFormat="1" applyFont="1" applyFill="1"/>
    <xf numFmtId="9" fontId="18" fillId="17" borderId="0" xfId="4" applyFont="1" applyFill="1"/>
    <xf numFmtId="3" fontId="18" fillId="17" borderId="0" xfId="0" applyNumberFormat="1" applyFont="1" applyFill="1"/>
    <xf numFmtId="1" fontId="18" fillId="17" borderId="0" xfId="0" applyNumberFormat="1" applyFont="1" applyFill="1"/>
    <xf numFmtId="0" fontId="33" fillId="17" borderId="0" xfId="0" applyFont="1" applyFill="1" applyAlignment="1">
      <alignment horizontal="right"/>
    </xf>
    <xf numFmtId="4" fontId="32" fillId="17" borderId="0" xfId="0" applyNumberFormat="1" applyFont="1" applyFill="1" applyAlignment="1">
      <alignment horizontal="right"/>
    </xf>
    <xf numFmtId="167" fontId="32" fillId="17" borderId="0" xfId="0" applyNumberFormat="1" applyFont="1" applyFill="1" applyAlignment="1">
      <alignment horizontal="right"/>
    </xf>
    <xf numFmtId="167" fontId="18" fillId="17" borderId="0" xfId="2" applyNumberFormat="1" applyFont="1" applyFill="1" applyBorder="1"/>
    <xf numFmtId="9" fontId="18" fillId="17" borderId="0" xfId="4" applyFont="1" applyFill="1" applyBorder="1"/>
    <xf numFmtId="166" fontId="18" fillId="17" borderId="0" xfId="0" applyNumberFormat="1" applyFont="1" applyFill="1"/>
    <xf numFmtId="4" fontId="18" fillId="17" borderId="0" xfId="0" applyNumberFormat="1" applyFont="1" applyFill="1"/>
    <xf numFmtId="167" fontId="18" fillId="17" borderId="0" xfId="0" applyNumberFormat="1" applyFont="1" applyFill="1"/>
    <xf numFmtId="2" fontId="18" fillId="17" borderId="0" xfId="0" applyNumberFormat="1" applyFont="1" applyFill="1"/>
    <xf numFmtId="3" fontId="18" fillId="17" borderId="0" xfId="1" applyFont="1" applyFill="1"/>
    <xf numFmtId="166" fontId="18" fillId="17" borderId="0" xfId="0" applyNumberFormat="1" applyFont="1" applyFill="1" applyAlignment="1">
      <alignment horizontal="right"/>
    </xf>
    <xf numFmtId="0" fontId="6" fillId="17" borderId="0" xfId="0" applyFont="1" applyFill="1"/>
    <xf numFmtId="0" fontId="6" fillId="18" borderId="0" xfId="0" applyFont="1" applyFill="1"/>
    <xf numFmtId="0" fontId="6" fillId="19" borderId="0" xfId="0" applyFont="1" applyFill="1"/>
    <xf numFmtId="0" fontId="49" fillId="0" borderId="1" xfId="0" applyFont="1" applyBorder="1" applyAlignment="1">
      <alignment vertical="center" wrapText="1"/>
    </xf>
    <xf numFmtId="0" fontId="49" fillId="0" borderId="0" xfId="0" applyFont="1" applyAlignment="1">
      <alignment vertical="center" wrapText="1"/>
    </xf>
    <xf numFmtId="0" fontId="50" fillId="0" borderId="0" xfId="0" applyFont="1" applyAlignment="1">
      <alignment horizontal="right"/>
    </xf>
    <xf numFmtId="3" fontId="30" fillId="0" borderId="0" xfId="0" applyNumberFormat="1" applyFont="1" applyAlignment="1">
      <alignment horizontal="right"/>
    </xf>
    <xf numFmtId="3" fontId="10" fillId="0" borderId="0" xfId="0" applyNumberFormat="1" applyFont="1" applyAlignment="1">
      <alignment horizontal="right"/>
    </xf>
    <xf numFmtId="0" fontId="51" fillId="9" borderId="0" xfId="0" applyFont="1" applyFill="1" applyAlignment="1">
      <alignment horizontal="right"/>
    </xf>
    <xf numFmtId="3" fontId="30" fillId="0" borderId="0" xfId="0" applyNumberFormat="1" applyFont="1" applyAlignment="1">
      <alignment horizontal="right" wrapText="1"/>
    </xf>
    <xf numFmtId="0" fontId="51" fillId="13" borderId="0" xfId="0" applyFont="1" applyFill="1" applyAlignment="1">
      <alignment horizontal="right"/>
    </xf>
    <xf numFmtId="10" fontId="10" fillId="0" borderId="0" xfId="0" applyNumberFormat="1" applyFont="1" applyAlignment="1">
      <alignment horizontal="right"/>
    </xf>
    <xf numFmtId="0" fontId="51" fillId="12" borderId="0" xfId="0" applyFont="1" applyFill="1" applyAlignment="1">
      <alignment horizontal="right"/>
    </xf>
    <xf numFmtId="0" fontId="51" fillId="10" borderId="0" xfId="0" applyFont="1" applyFill="1" applyAlignment="1">
      <alignment horizontal="right"/>
    </xf>
    <xf numFmtId="3" fontId="12" fillId="0" borderId="0" xfId="0" applyNumberFormat="1" applyFont="1" applyAlignment="1">
      <alignment horizontal="right"/>
    </xf>
    <xf numFmtId="10" fontId="52" fillId="0" borderId="0" xfId="0" applyNumberFormat="1" applyFont="1" applyAlignment="1">
      <alignment horizontal="right"/>
    </xf>
    <xf numFmtId="0" fontId="30" fillId="0" borderId="0" xfId="0" applyFont="1" applyAlignment="1">
      <alignment horizontal="right" wrapText="1"/>
    </xf>
    <xf numFmtId="0" fontId="51" fillId="11" borderId="0" xfId="0" applyFont="1" applyFill="1" applyAlignment="1">
      <alignment horizontal="right"/>
    </xf>
    <xf numFmtId="0" fontId="10" fillId="0" borderId="0" xfId="0" applyFont="1" applyAlignment="1">
      <alignment horizontal="right" wrapText="1"/>
    </xf>
    <xf numFmtId="0" fontId="53" fillId="8" borderId="0" xfId="0" applyFont="1" applyFill="1" applyAlignment="1">
      <alignment horizontal="right" wrapText="1"/>
    </xf>
    <xf numFmtId="3" fontId="50" fillId="0" borderId="0" xfId="0" applyNumberFormat="1" applyFont="1" applyAlignment="1">
      <alignment horizontal="right" wrapText="1"/>
    </xf>
    <xf numFmtId="0" fontId="54" fillId="0" borderId="0" xfId="0" applyFont="1" applyAlignment="1">
      <alignment wrapText="1"/>
    </xf>
    <xf numFmtId="3" fontId="55" fillId="4" borderId="0" xfId="0" applyNumberFormat="1" applyFont="1" applyFill="1" applyAlignment="1">
      <alignment horizontal="right" wrapText="1"/>
    </xf>
    <xf numFmtId="0" fontId="55" fillId="4" borderId="0" xfId="0" applyFont="1" applyFill="1" applyAlignment="1">
      <alignment horizontal="right"/>
    </xf>
    <xf numFmtId="3" fontId="50" fillId="4" borderId="0" xfId="0" applyNumberFormat="1" applyFont="1" applyFill="1" applyAlignment="1">
      <alignment horizontal="right"/>
    </xf>
    <xf numFmtId="0" fontId="50" fillId="4" borderId="0" xfId="0" applyFont="1" applyFill="1" applyAlignment="1">
      <alignment horizontal="right"/>
    </xf>
    <xf numFmtId="0" fontId="56" fillId="13" borderId="0" xfId="0" applyFont="1" applyFill="1" applyAlignment="1">
      <alignment horizontal="right"/>
    </xf>
    <xf numFmtId="0" fontId="50" fillId="14" borderId="0" xfId="0" applyFont="1" applyFill="1" applyAlignment="1">
      <alignment horizontal="right"/>
    </xf>
    <xf numFmtId="3" fontId="55" fillId="14" borderId="0" xfId="0" applyNumberFormat="1" applyFont="1" applyFill="1" applyAlignment="1">
      <alignment horizontal="right" wrapText="1"/>
    </xf>
    <xf numFmtId="0" fontId="55" fillId="14" borderId="0" xfId="0" applyFont="1" applyFill="1" applyAlignment="1">
      <alignment horizontal="right"/>
    </xf>
    <xf numFmtId="3" fontId="50" fillId="14" borderId="0" xfId="0" applyNumberFormat="1" applyFont="1" applyFill="1" applyAlignment="1">
      <alignment horizontal="right"/>
    </xf>
    <xf numFmtId="10" fontId="50" fillId="14" borderId="0" xfId="0" applyNumberFormat="1" applyFont="1" applyFill="1" applyAlignment="1">
      <alignment horizontal="right"/>
    </xf>
    <xf numFmtId="0" fontId="8" fillId="4" borderId="0" xfId="0" applyFont="1" applyFill="1" applyAlignment="1">
      <alignment horizontal="left"/>
    </xf>
    <xf numFmtId="0" fontId="57" fillId="0" borderId="0" xfId="0" applyFont="1" applyAlignment="1">
      <alignment horizontal="right"/>
    </xf>
    <xf numFmtId="0" fontId="57" fillId="0" borderId="0" xfId="0" applyFont="1"/>
    <xf numFmtId="0" fontId="58" fillId="0" borderId="0" xfId="0" applyFont="1"/>
    <xf numFmtId="0" fontId="59" fillId="8" borderId="0" xfId="0" applyFont="1" applyFill="1" applyAlignment="1">
      <alignment horizontal="left" wrapText="1"/>
    </xf>
    <xf numFmtId="0" fontId="59" fillId="8" borderId="0" xfId="0" applyFont="1" applyFill="1" applyAlignment="1">
      <alignment horizontal="right" wrapText="1"/>
    </xf>
    <xf numFmtId="0" fontId="60" fillId="0" borderId="0" xfId="0" applyFont="1"/>
    <xf numFmtId="3" fontId="61" fillId="0" borderId="0" xfId="0" applyNumberFormat="1" applyFont="1"/>
    <xf numFmtId="0" fontId="61" fillId="0" borderId="0" xfId="0" applyFont="1"/>
    <xf numFmtId="0" fontId="62" fillId="0" borderId="0" xfId="0" applyFont="1" applyAlignment="1">
      <alignment wrapText="1"/>
    </xf>
    <xf numFmtId="3" fontId="62" fillId="2" borderId="0" xfId="0" applyNumberFormat="1" applyFont="1" applyFill="1"/>
    <xf numFmtId="3" fontId="58" fillId="0" borderId="0" xfId="0" applyNumberFormat="1" applyFont="1"/>
    <xf numFmtId="0" fontId="60" fillId="0" borderId="0" xfId="0" applyFont="1" applyAlignment="1">
      <alignment horizontal="left"/>
    </xf>
    <xf numFmtId="0" fontId="62" fillId="0" borderId="0" xfId="0" applyFont="1"/>
    <xf numFmtId="3" fontId="62" fillId="0" borderId="0" xfId="0" applyNumberFormat="1" applyFont="1"/>
    <xf numFmtId="0" fontId="63" fillId="0" borderId="0" xfId="0" applyFont="1"/>
    <xf numFmtId="0" fontId="58" fillId="0" borderId="0" xfId="0" applyFont="1" applyAlignment="1">
      <alignment vertical="top" wrapText="1"/>
    </xf>
    <xf numFmtId="3" fontId="63" fillId="0" borderId="0" xfId="0" applyNumberFormat="1" applyFont="1"/>
    <xf numFmtId="0" fontId="63" fillId="0" borderId="0" xfId="0" applyFont="1" applyAlignment="1">
      <alignment vertical="top" wrapText="1"/>
    </xf>
    <xf numFmtId="0" fontId="57" fillId="0" borderId="0" xfId="0" applyFont="1" applyAlignment="1">
      <alignment vertical="top" wrapText="1"/>
    </xf>
    <xf numFmtId="0" fontId="58" fillId="0" borderId="0" xfId="0" applyFont="1" applyAlignment="1">
      <alignment vertical="top"/>
    </xf>
    <xf numFmtId="0" fontId="64" fillId="0" borderId="0" xfId="0" applyFont="1" applyAlignment="1" applyProtection="1">
      <alignment horizontal="left" vertical="center"/>
      <protection hidden="1"/>
    </xf>
    <xf numFmtId="0" fontId="57" fillId="0" borderId="0" xfId="0" applyFont="1" applyAlignment="1">
      <alignment vertical="top"/>
    </xf>
    <xf numFmtId="3" fontId="64" fillId="0" borderId="0" xfId="0" applyNumberFormat="1" applyFont="1" applyAlignment="1" applyProtection="1">
      <alignment horizontal="center" vertical="center"/>
      <protection hidden="1"/>
    </xf>
    <xf numFmtId="0" fontId="58" fillId="0" borderId="0" xfId="0" applyFont="1" applyAlignment="1">
      <alignment horizontal="right"/>
    </xf>
    <xf numFmtId="0" fontId="60" fillId="0" borderId="0" xfId="0" applyFont="1" applyAlignment="1">
      <alignment horizontal="right"/>
    </xf>
    <xf numFmtId="0" fontId="62" fillId="0" borderId="0" xfId="0" applyFont="1" applyAlignment="1">
      <alignment horizontal="right"/>
    </xf>
    <xf numFmtId="0" fontId="63" fillId="0" borderId="0" xfId="0" applyFont="1" applyAlignment="1">
      <alignment horizontal="right"/>
    </xf>
    <xf numFmtId="0" fontId="63" fillId="0" borderId="0" xfId="0" applyFont="1" applyAlignment="1">
      <alignment horizontal="right" vertical="top" wrapText="1"/>
    </xf>
    <xf numFmtId="0" fontId="57" fillId="0" borderId="0" xfId="0" applyFont="1" applyAlignment="1">
      <alignment horizontal="right" vertical="top" wrapText="1"/>
    </xf>
    <xf numFmtId="0" fontId="58" fillId="0" borderId="0" xfId="0" applyFont="1" applyAlignment="1">
      <alignment horizontal="right" vertical="top"/>
    </xf>
    <xf numFmtId="0" fontId="61" fillId="0" borderId="0" xfId="0" applyFont="1" applyAlignment="1">
      <alignment horizontal="right"/>
    </xf>
    <xf numFmtId="0" fontId="58" fillId="0" borderId="0" xfId="0" applyFont="1" applyAlignment="1">
      <alignment horizontal="right" vertical="top" wrapText="1"/>
    </xf>
    <xf numFmtId="3" fontId="58" fillId="0" borderId="0" xfId="0" applyNumberFormat="1" applyFont="1" applyAlignment="1">
      <alignment horizontal="right" vertical="top" wrapText="1"/>
    </xf>
    <xf numFmtId="0" fontId="65" fillId="0" borderId="0" xfId="0" applyFont="1" applyAlignment="1">
      <alignment horizontal="right" wrapText="1"/>
    </xf>
    <xf numFmtId="169" fontId="20" fillId="0" borderId="0" xfId="0" applyNumberFormat="1" applyFont="1" applyAlignment="1">
      <alignment horizontal="center"/>
    </xf>
    <xf numFmtId="0" fontId="4" fillId="18" borderId="0" xfId="0" applyFont="1" applyFill="1"/>
    <xf numFmtId="0" fontId="18" fillId="5" borderId="0" xfId="0" applyFont="1" applyFill="1"/>
    <xf numFmtId="0" fontId="5" fillId="15" borderId="0" xfId="0" applyFont="1" applyFill="1"/>
    <xf numFmtId="0" fontId="69" fillId="18" borderId="0" xfId="0" applyFont="1" applyFill="1" applyAlignment="1">
      <alignment horizontal="right"/>
    </xf>
    <xf numFmtId="0" fontId="69" fillId="19" borderId="0" xfId="0" applyFont="1" applyFill="1" applyAlignment="1">
      <alignment horizontal="right"/>
    </xf>
    <xf numFmtId="0" fontId="69" fillId="17" borderId="0" xfId="0" applyFont="1" applyFill="1" applyAlignment="1">
      <alignment horizontal="right"/>
    </xf>
    <xf numFmtId="0" fontId="69" fillId="0" borderId="0" xfId="0" applyFont="1" applyAlignment="1">
      <alignment horizontal="right"/>
    </xf>
    <xf numFmtId="0" fontId="69" fillId="9" borderId="0" xfId="0" applyFont="1" applyFill="1" applyAlignment="1">
      <alignment horizontal="right"/>
    </xf>
    <xf numFmtId="3" fontId="69" fillId="18" borderId="0" xfId="0" applyNumberFormat="1" applyFont="1" applyFill="1" applyAlignment="1">
      <alignment horizontal="right"/>
    </xf>
    <xf numFmtId="0" fontId="70" fillId="18" borderId="0" xfId="0" applyFont="1" applyFill="1" applyAlignment="1">
      <alignment horizontal="right"/>
    </xf>
    <xf numFmtId="0" fontId="69" fillId="15" borderId="0" xfId="0" applyFont="1" applyFill="1" applyAlignment="1">
      <alignment horizontal="right"/>
    </xf>
    <xf numFmtId="3" fontId="69" fillId="19" borderId="0" xfId="0" applyNumberFormat="1" applyFont="1" applyFill="1" applyAlignment="1">
      <alignment horizontal="right"/>
    </xf>
    <xf numFmtId="0" fontId="70" fillId="19" borderId="0" xfId="0" applyFont="1" applyFill="1" applyAlignment="1">
      <alignment horizontal="right"/>
    </xf>
    <xf numFmtId="0" fontId="69" fillId="8" borderId="0" xfId="0" applyFont="1" applyFill="1" applyAlignment="1">
      <alignment horizontal="right"/>
    </xf>
    <xf numFmtId="3" fontId="69" fillId="17" borderId="0" xfId="0" applyNumberFormat="1" applyFont="1" applyFill="1" applyAlignment="1">
      <alignment horizontal="right"/>
    </xf>
    <xf numFmtId="0" fontId="70" fillId="17" borderId="0" xfId="0" applyFont="1" applyFill="1" applyAlignment="1">
      <alignment horizontal="right"/>
    </xf>
    <xf numFmtId="0" fontId="67" fillId="19" borderId="0" xfId="0" applyFont="1" applyFill="1"/>
    <xf numFmtId="0" fontId="66" fillId="19" borderId="0" xfId="0" applyFont="1" applyFill="1"/>
    <xf numFmtId="0" fontId="66" fillId="17" borderId="0" xfId="0" applyFont="1" applyFill="1"/>
    <xf numFmtId="4" fontId="66" fillId="17" borderId="0" xfId="0" applyNumberFormat="1" applyFont="1" applyFill="1"/>
    <xf numFmtId="0" fontId="66" fillId="0" borderId="0" xfId="0" applyFont="1"/>
    <xf numFmtId="4" fontId="66" fillId="19" borderId="0" xfId="0" applyNumberFormat="1" applyFont="1" applyFill="1"/>
    <xf numFmtId="0" fontId="66" fillId="18" borderId="0" xfId="0" applyFont="1" applyFill="1"/>
    <xf numFmtId="4" fontId="66" fillId="18" borderId="0" xfId="0" applyNumberFormat="1" applyFont="1" applyFill="1"/>
    <xf numFmtId="0" fontId="67" fillId="18" borderId="0" xfId="0" applyFont="1" applyFill="1"/>
    <xf numFmtId="0" fontId="67" fillId="17" borderId="0" xfId="0" applyFont="1" applyFill="1"/>
    <xf numFmtId="0" fontId="5" fillId="0" borderId="0" xfId="0" applyFont="1"/>
    <xf numFmtId="0" fontId="67" fillId="20" borderId="0" xfId="0" applyFont="1" applyFill="1"/>
    <xf numFmtId="0" fontId="18" fillId="20" borderId="0" xfId="0" applyFont="1" applyFill="1"/>
    <xf numFmtId="3" fontId="69" fillId="20" borderId="0" xfId="0" applyNumberFormat="1" applyFont="1" applyFill="1" applyAlignment="1">
      <alignment horizontal="right"/>
    </xf>
    <xf numFmtId="3" fontId="19" fillId="20" borderId="0" xfId="0" applyNumberFormat="1" applyFont="1" applyFill="1" applyAlignment="1">
      <alignment horizontal="right"/>
    </xf>
    <xf numFmtId="0" fontId="69" fillId="20" borderId="0" xfId="0" applyFont="1" applyFill="1" applyAlignment="1">
      <alignment horizontal="right"/>
    </xf>
    <xf numFmtId="0" fontId="18" fillId="20" borderId="0" xfId="0" applyFont="1" applyFill="1" applyAlignment="1">
      <alignment horizontal="right"/>
    </xf>
    <xf numFmtId="0" fontId="19" fillId="20" borderId="0" xfId="0" applyFont="1" applyFill="1"/>
    <xf numFmtId="0" fontId="31" fillId="20" borderId="0" xfId="0" applyFont="1" applyFill="1"/>
    <xf numFmtId="0" fontId="70" fillId="20" borderId="0" xfId="0" applyFont="1" applyFill="1" applyAlignment="1">
      <alignment horizontal="right"/>
    </xf>
    <xf numFmtId="3" fontId="18" fillId="20" borderId="0" xfId="0" applyNumberFormat="1" applyFont="1" applyFill="1" applyAlignment="1">
      <alignment horizontal="right"/>
    </xf>
    <xf numFmtId="168" fontId="18" fillId="20" borderId="0" xfId="0" applyNumberFormat="1" applyFont="1" applyFill="1" applyAlignment="1">
      <alignment horizontal="right"/>
    </xf>
    <xf numFmtId="9" fontId="18" fillId="20" borderId="0" xfId="4" applyFont="1" applyFill="1"/>
    <xf numFmtId="3" fontId="18" fillId="20" borderId="0" xfId="0" applyNumberFormat="1" applyFont="1" applyFill="1"/>
    <xf numFmtId="1" fontId="18" fillId="20" borderId="0" xfId="0" applyNumberFormat="1" applyFont="1" applyFill="1"/>
    <xf numFmtId="9" fontId="18" fillId="20" borderId="0" xfId="0" applyNumberFormat="1" applyFont="1" applyFill="1"/>
    <xf numFmtId="0" fontId="33" fillId="20" borderId="0" xfId="0" applyFont="1" applyFill="1" applyAlignment="1">
      <alignment horizontal="right"/>
    </xf>
    <xf numFmtId="4" fontId="32" fillId="20" borderId="0" xfId="0" applyNumberFormat="1" applyFont="1" applyFill="1" applyAlignment="1">
      <alignment horizontal="right"/>
    </xf>
    <xf numFmtId="167" fontId="32" fillId="20" borderId="0" xfId="0" applyNumberFormat="1" applyFont="1" applyFill="1" applyAlignment="1">
      <alignment horizontal="right"/>
    </xf>
    <xf numFmtId="167" fontId="18" fillId="20" borderId="0" xfId="2" applyNumberFormat="1" applyFont="1" applyFill="1" applyBorder="1"/>
    <xf numFmtId="9" fontId="18" fillId="20" borderId="0" xfId="4" applyFont="1" applyFill="1" applyBorder="1"/>
    <xf numFmtId="0" fontId="6" fillId="20" borderId="0" xfId="0" applyFont="1" applyFill="1"/>
    <xf numFmtId="166" fontId="18" fillId="20" borderId="0" xfId="0" applyNumberFormat="1" applyFont="1" applyFill="1"/>
    <xf numFmtId="4" fontId="18" fillId="20" borderId="0" xfId="0" applyNumberFormat="1" applyFont="1" applyFill="1"/>
    <xf numFmtId="0" fontId="4" fillId="20" borderId="0" xfId="0" applyFont="1" applyFill="1"/>
    <xf numFmtId="4" fontId="4" fillId="20" borderId="0" xfId="0" applyNumberFormat="1" applyFont="1" applyFill="1"/>
    <xf numFmtId="167" fontId="18" fillId="20" borderId="0" xfId="0" applyNumberFormat="1" applyFont="1" applyFill="1"/>
    <xf numFmtId="2" fontId="18" fillId="20" borderId="0" xfId="0" applyNumberFormat="1" applyFont="1" applyFill="1"/>
    <xf numFmtId="3" fontId="18" fillId="20" borderId="0" xfId="1" applyFont="1" applyFill="1"/>
    <xf numFmtId="166" fontId="18" fillId="20" borderId="0" xfId="0" applyNumberFormat="1" applyFont="1" applyFill="1" applyAlignment="1">
      <alignment horizontal="right"/>
    </xf>
    <xf numFmtId="0" fontId="18" fillId="21" borderId="0" xfId="0" applyFont="1" applyFill="1"/>
    <xf numFmtId="0" fontId="69" fillId="21" borderId="0" xfId="0" applyFont="1" applyFill="1" applyAlignment="1">
      <alignment horizontal="right"/>
    </xf>
    <xf numFmtId="0" fontId="18" fillId="21" borderId="0" xfId="0" applyFont="1" applyFill="1" applyAlignment="1">
      <alignment horizontal="right"/>
    </xf>
    <xf numFmtId="3" fontId="69" fillId="21" borderId="0" xfId="0" applyNumberFormat="1" applyFont="1" applyFill="1" applyAlignment="1">
      <alignment horizontal="right"/>
    </xf>
    <xf numFmtId="3" fontId="19" fillId="21" borderId="0" xfId="0" applyNumberFormat="1" applyFont="1" applyFill="1" applyAlignment="1">
      <alignment horizontal="right"/>
    </xf>
    <xf numFmtId="0" fontId="19" fillId="21" borderId="0" xfId="0" applyFont="1" applyFill="1"/>
    <xf numFmtId="0" fontId="31" fillId="21" borderId="0" xfId="0" applyFont="1" applyFill="1"/>
    <xf numFmtId="0" fontId="70" fillId="21" borderId="0" xfId="0" applyFont="1" applyFill="1" applyAlignment="1">
      <alignment horizontal="right"/>
    </xf>
    <xf numFmtId="3" fontId="18" fillId="21" borderId="0" xfId="0" applyNumberFormat="1" applyFont="1" applyFill="1" applyAlignment="1">
      <alignment horizontal="right"/>
    </xf>
    <xf numFmtId="168" fontId="18" fillId="21" borderId="0" xfId="0" applyNumberFormat="1" applyFont="1" applyFill="1" applyAlignment="1">
      <alignment horizontal="right"/>
    </xf>
    <xf numFmtId="9" fontId="18" fillId="21" borderId="0" xfId="4" applyFont="1" applyFill="1"/>
    <xf numFmtId="3" fontId="18" fillId="21" borderId="0" xfId="0" applyNumberFormat="1" applyFont="1" applyFill="1"/>
    <xf numFmtId="1" fontId="18" fillId="21" borderId="0" xfId="0" applyNumberFormat="1" applyFont="1" applyFill="1"/>
    <xf numFmtId="9" fontId="18" fillId="21" borderId="0" xfId="0" applyNumberFormat="1" applyFont="1" applyFill="1"/>
    <xf numFmtId="169" fontId="18" fillId="21" borderId="0" xfId="0" applyNumberFormat="1" applyFont="1" applyFill="1"/>
    <xf numFmtId="0" fontId="33" fillId="21" borderId="0" xfId="0" applyFont="1" applyFill="1" applyAlignment="1">
      <alignment horizontal="right"/>
    </xf>
    <xf numFmtId="4" fontId="32" fillId="21" borderId="0" xfId="0" applyNumberFormat="1" applyFont="1" applyFill="1" applyAlignment="1">
      <alignment horizontal="right"/>
    </xf>
    <xf numFmtId="167" fontId="32" fillId="21" borderId="0" xfId="0" applyNumberFormat="1" applyFont="1" applyFill="1" applyAlignment="1">
      <alignment horizontal="right"/>
    </xf>
    <xf numFmtId="167" fontId="18" fillId="21" borderId="0" xfId="2" applyNumberFormat="1" applyFont="1" applyFill="1" applyBorder="1"/>
    <xf numFmtId="9" fontId="18" fillId="21" borderId="0" xfId="4" applyFont="1" applyFill="1" applyBorder="1"/>
    <xf numFmtId="0" fontId="6" fillId="21" borderId="0" xfId="0" applyFont="1" applyFill="1"/>
    <xf numFmtId="166" fontId="18" fillId="21" borderId="0" xfId="0" applyNumberFormat="1" applyFont="1" applyFill="1"/>
    <xf numFmtId="4" fontId="18" fillId="21" borderId="0" xfId="0" applyNumberFormat="1" applyFont="1" applyFill="1"/>
    <xf numFmtId="0" fontId="4" fillId="21" borderId="0" xfId="0" applyFont="1" applyFill="1"/>
    <xf numFmtId="4" fontId="4" fillId="21" borderId="0" xfId="0" applyNumberFormat="1" applyFont="1" applyFill="1"/>
    <xf numFmtId="167" fontId="18" fillId="21" borderId="0" xfId="0" applyNumberFormat="1" applyFont="1" applyFill="1"/>
    <xf numFmtId="2" fontId="18" fillId="21" borderId="0" xfId="0" applyNumberFormat="1" applyFont="1" applyFill="1"/>
    <xf numFmtId="3" fontId="18" fillId="21" borderId="0" xfId="1" applyFont="1" applyFill="1"/>
    <xf numFmtId="166" fontId="18" fillId="21" borderId="0" xfId="0" applyNumberFormat="1" applyFont="1" applyFill="1" applyAlignment="1">
      <alignment horizontal="right"/>
    </xf>
    <xf numFmtId="0" fontId="10" fillId="0" borderId="0" xfId="0" applyFont="1" applyAlignment="1">
      <alignment wrapText="1"/>
    </xf>
    <xf numFmtId="0" fontId="67" fillId="21" borderId="0" xfId="0" applyFont="1" applyFill="1"/>
    <xf numFmtId="3" fontId="18" fillId="5" borderId="0" xfId="0" applyNumberFormat="1" applyFont="1" applyFill="1"/>
    <xf numFmtId="167" fontId="7" fillId="5" borderId="0" xfId="0" applyNumberFormat="1" applyFont="1" applyFill="1" applyAlignment="1">
      <alignment horizontal="right"/>
    </xf>
    <xf numFmtId="168" fontId="11" fillId="0" borderId="0" xfId="0" applyNumberFormat="1" applyFont="1" applyAlignment="1">
      <alignment horizontal="center"/>
    </xf>
    <xf numFmtId="168" fontId="7" fillId="0" borderId="0" xfId="0" applyNumberFormat="1" applyFont="1"/>
    <xf numFmtId="168" fontId="11" fillId="5" borderId="0" xfId="0" applyNumberFormat="1" applyFont="1" applyFill="1" applyAlignment="1">
      <alignment horizontal="center"/>
    </xf>
    <xf numFmtId="167" fontId="71" fillId="0" borderId="0" xfId="0" applyNumberFormat="1" applyFont="1" applyAlignment="1">
      <alignment horizontal="center"/>
    </xf>
    <xf numFmtId="3" fontId="72" fillId="0" borderId="0" xfId="0" applyNumberFormat="1" applyFont="1" applyAlignment="1">
      <alignment horizontal="right"/>
    </xf>
    <xf numFmtId="4" fontId="10" fillId="0" borderId="0" xfId="0" applyNumberFormat="1" applyFont="1" applyAlignment="1">
      <alignment horizontal="right"/>
    </xf>
    <xf numFmtId="3" fontId="71" fillId="0" borderId="0" xfId="0" applyNumberFormat="1" applyFont="1" applyAlignment="1">
      <alignment horizontal="left"/>
    </xf>
    <xf numFmtId="165" fontId="7" fillId="0" borderId="0" xfId="0" applyNumberFormat="1" applyFont="1" applyAlignment="1">
      <alignment horizontal="right"/>
    </xf>
    <xf numFmtId="165" fontId="8" fillId="0" borderId="0" xfId="0" applyNumberFormat="1" applyFont="1" applyAlignment="1">
      <alignment horizontal="right"/>
    </xf>
    <xf numFmtId="3" fontId="73" fillId="0" borderId="0" xfId="0" applyNumberFormat="1" applyFont="1" applyAlignment="1">
      <alignment horizontal="left"/>
    </xf>
    <xf numFmtId="0" fontId="5" fillId="9" borderId="0" xfId="0" applyFont="1" applyFill="1"/>
    <xf numFmtId="0" fontId="5" fillId="8" borderId="0" xfId="0" applyFont="1" applyFill="1"/>
    <xf numFmtId="0" fontId="62" fillId="5" borderId="0" xfId="0" applyFont="1" applyFill="1" applyAlignment="1">
      <alignment wrapText="1"/>
    </xf>
    <xf numFmtId="0" fontId="74" fillId="0" borderId="0" xfId="0" applyFont="1" applyAlignment="1">
      <alignment horizontal="left"/>
    </xf>
    <xf numFmtId="0" fontId="10" fillId="0" borderId="0" xfId="0" applyFont="1"/>
    <xf numFmtId="0" fontId="0" fillId="0" borderId="0" xfId="0" applyAlignment="1">
      <alignment vertical="top" wrapText="1"/>
    </xf>
    <xf numFmtId="0" fontId="10" fillId="0" borderId="0" xfId="3" applyFont="1" applyAlignment="1">
      <alignment horizontal="right" wrapText="1"/>
    </xf>
    <xf numFmtId="0" fontId="10" fillId="6" borderId="0" xfId="0" applyFont="1" applyFill="1" applyAlignment="1">
      <alignment horizontal="right"/>
    </xf>
    <xf numFmtId="0" fontId="10" fillId="7" borderId="0" xfId="0" applyFont="1" applyFill="1" applyAlignment="1">
      <alignment horizontal="right" wrapText="1"/>
    </xf>
    <xf numFmtId="0" fontId="10" fillId="8" borderId="0" xfId="0" applyFont="1" applyFill="1" applyAlignment="1">
      <alignment horizontal="right" wrapText="1"/>
    </xf>
    <xf numFmtId="0" fontId="10" fillId="6" borderId="0" xfId="0" applyFont="1" applyFill="1" applyAlignment="1">
      <alignment horizontal="right" wrapText="1"/>
    </xf>
    <xf numFmtId="0" fontId="51" fillId="10" borderId="0" xfId="0" applyFont="1" applyFill="1" applyAlignment="1">
      <alignment horizontal="left"/>
    </xf>
    <xf numFmtId="0" fontId="51" fillId="0" borderId="0" xfId="0" applyFont="1" applyAlignment="1">
      <alignment horizontal="left"/>
    </xf>
    <xf numFmtId="0" fontId="10" fillId="17" borderId="0" xfId="0" applyFont="1" applyFill="1" applyAlignment="1">
      <alignment horizontal="right"/>
    </xf>
    <xf numFmtId="3" fontId="10" fillId="0" borderId="0" xfId="0" applyNumberFormat="1" applyFont="1" applyAlignment="1">
      <alignment horizontal="right" wrapText="1"/>
    </xf>
    <xf numFmtId="0" fontId="76" fillId="9" borderId="0" xfId="0" applyFont="1" applyFill="1" applyAlignment="1">
      <alignment horizontal="left" wrapText="1"/>
    </xf>
    <xf numFmtId="0" fontId="0" fillId="0" borderId="0" xfId="0" applyAlignment="1">
      <alignment vertical="center"/>
    </xf>
    <xf numFmtId="0" fontId="59" fillId="8" borderId="7" xfId="0" applyFont="1" applyFill="1" applyBorder="1" applyAlignment="1">
      <alignment horizontal="left" vertical="center" wrapText="1"/>
    </xf>
    <xf numFmtId="0" fontId="75" fillId="0" borderId="7" xfId="0" applyFont="1" applyBorder="1" applyAlignment="1">
      <alignment vertical="top" wrapText="1"/>
    </xf>
    <xf numFmtId="0" fontId="75" fillId="5" borderId="7" xfId="0" applyFont="1" applyFill="1" applyBorder="1" applyAlignment="1">
      <alignment vertical="top" wrapText="1"/>
    </xf>
    <xf numFmtId="0" fontId="38" fillId="9" borderId="0" xfId="0" applyFont="1" applyFill="1" applyAlignment="1">
      <alignment horizontal="left"/>
    </xf>
    <xf numFmtId="0" fontId="0" fillId="0" borderId="0" xfId="0" applyAlignment="1">
      <alignment horizontal="left"/>
    </xf>
    <xf numFmtId="0" fontId="36" fillId="0" borderId="0" xfId="0" applyFont="1" applyAlignment="1">
      <alignment vertical="center" wrapText="1"/>
    </xf>
    <xf numFmtId="0" fontId="36" fillId="0" borderId="6" xfId="0" applyFont="1" applyBorder="1" applyAlignment="1">
      <alignment vertical="center" wrapText="1"/>
    </xf>
    <xf numFmtId="0" fontId="48" fillId="0" borderId="0" xfId="0" applyFont="1" applyAlignment="1">
      <alignment horizontal="center" vertical="center" wrapText="1"/>
    </xf>
    <xf numFmtId="0" fontId="39" fillId="0" borderId="0" xfId="0" applyFont="1" applyAlignment="1">
      <alignment horizontal="center" vertical="center" wrapText="1"/>
    </xf>
  </cellXfs>
  <cellStyles count="5">
    <cellStyle name="Comma_Fin analysis Muscat 01-06-02" xfId="1" xr:uid="{00000000-0005-0000-0000-000000000000}"/>
    <cellStyle name="Comma_Sofia cost 071215" xfId="2" xr:uid="{00000000-0005-0000-0000-000001000000}"/>
    <cellStyle name="Normal" xfId="0" builtinId="0"/>
    <cellStyle name="Normal_summary" xfId="3" xr:uid="{00000000-0005-0000-0000-00000300000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2343150</xdr:colOff>
          <xdr:row>0</xdr:row>
          <xdr:rowOff>257175</xdr:rowOff>
        </xdr:from>
        <xdr:to>
          <xdr:col>0</xdr:col>
          <xdr:colOff>3333750</xdr:colOff>
          <xdr:row>0</xdr:row>
          <xdr:rowOff>1371600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500-000004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12</xdr:col>
      <xdr:colOff>381000</xdr:colOff>
      <xdr:row>0</xdr:row>
      <xdr:rowOff>312420</xdr:rowOff>
    </xdr:from>
    <xdr:to>
      <xdr:col>14</xdr:col>
      <xdr:colOff>472440</xdr:colOff>
      <xdr:row>1</xdr:row>
      <xdr:rowOff>30480</xdr:rowOff>
    </xdr:to>
    <xdr:pic>
      <xdr:nvPicPr>
        <xdr:cNvPr id="1036" name="Picture 1">
          <a:extLst>
            <a:ext uri="{FF2B5EF4-FFF2-40B4-BE49-F238E27FC236}">
              <a16:creationId xmlns:a16="http://schemas.microsoft.com/office/drawing/2014/main" id="{00000000-0008-0000-0500-00000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9620" y="0"/>
          <a:ext cx="13411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6C3D9-988D-4BA6-9FC5-620199FA4C13}">
  <dimension ref="A1:B13"/>
  <sheetViews>
    <sheetView topLeftCell="A4" workbookViewId="0">
      <selection activeCell="B5" sqref="B5"/>
    </sheetView>
  </sheetViews>
  <sheetFormatPr defaultRowHeight="12.75" x14ac:dyDescent="0.2"/>
  <cols>
    <col min="1" max="1" width="27.42578125" style="468" customWidth="1"/>
    <col min="2" max="2" width="90.5703125" style="457" customWidth="1"/>
  </cols>
  <sheetData>
    <row r="1" spans="1:2" ht="23.25" x14ac:dyDescent="0.35">
      <c r="A1" s="472" t="s">
        <v>248</v>
      </c>
      <c r="B1" s="473"/>
    </row>
    <row r="2" spans="1:2" ht="73.150000000000006" customHeight="1" x14ac:dyDescent="0.2">
      <c r="A2" s="469" t="s">
        <v>233</v>
      </c>
      <c r="B2" s="470" t="s">
        <v>234</v>
      </c>
    </row>
    <row r="3" spans="1:2" ht="63" x14ac:dyDescent="0.2">
      <c r="A3" s="469" t="s">
        <v>237</v>
      </c>
      <c r="B3" s="471" t="s">
        <v>238</v>
      </c>
    </row>
    <row r="4" spans="1:2" ht="192.75" customHeight="1" x14ac:dyDescent="0.2">
      <c r="A4" s="469" t="s">
        <v>236</v>
      </c>
      <c r="B4" s="470" t="s">
        <v>239</v>
      </c>
    </row>
    <row r="5" spans="1:2" ht="246" customHeight="1" x14ac:dyDescent="0.2">
      <c r="A5" s="469" t="s">
        <v>235</v>
      </c>
      <c r="B5" s="470" t="s">
        <v>240</v>
      </c>
    </row>
    <row r="6" spans="1:2" ht="279.75" customHeight="1" x14ac:dyDescent="0.2">
      <c r="A6" s="469" t="s">
        <v>26</v>
      </c>
      <c r="B6" s="470" t="s">
        <v>243</v>
      </c>
    </row>
    <row r="7" spans="1:2" ht="60" customHeight="1" x14ac:dyDescent="0.2">
      <c r="A7" s="469" t="s">
        <v>244</v>
      </c>
      <c r="B7" s="470" t="s">
        <v>245</v>
      </c>
    </row>
    <row r="8" spans="1:2" ht="60" customHeight="1" x14ac:dyDescent="0.2">
      <c r="A8" s="469" t="s">
        <v>246</v>
      </c>
      <c r="B8" s="470" t="s">
        <v>247</v>
      </c>
    </row>
    <row r="9" spans="1:2" ht="206.25" customHeight="1" x14ac:dyDescent="0.2">
      <c r="A9" s="469" t="s">
        <v>250</v>
      </c>
      <c r="B9" s="470" t="s">
        <v>253</v>
      </c>
    </row>
    <row r="10" spans="1:2" ht="263.25" customHeight="1" x14ac:dyDescent="0.2">
      <c r="A10" s="469" t="s">
        <v>251</v>
      </c>
      <c r="B10" s="470" t="s">
        <v>252</v>
      </c>
    </row>
    <row r="11" spans="1:2" ht="177.75" customHeight="1" x14ac:dyDescent="0.2">
      <c r="A11" s="469" t="s">
        <v>257</v>
      </c>
      <c r="B11" s="470" t="s">
        <v>259</v>
      </c>
    </row>
    <row r="12" spans="1:2" ht="215.25" customHeight="1" x14ac:dyDescent="0.2">
      <c r="A12" s="469" t="s">
        <v>254</v>
      </c>
      <c r="B12" s="470" t="s">
        <v>255</v>
      </c>
    </row>
    <row r="13" spans="1:2" ht="105" x14ac:dyDescent="0.2">
      <c r="A13" s="469" t="s">
        <v>256</v>
      </c>
      <c r="B13" s="470" t="s">
        <v>258</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pageSetUpPr fitToPage="1"/>
  </sheetPr>
  <dimension ref="A1:FV812"/>
  <sheetViews>
    <sheetView topLeftCell="A103" zoomScaleNormal="100" workbookViewId="0">
      <selection activeCell="H134" sqref="H134"/>
    </sheetView>
  </sheetViews>
  <sheetFormatPr defaultColWidth="9.140625" defaultRowHeight="12.75" x14ac:dyDescent="0.2"/>
  <cols>
    <col min="1" max="1" width="53.28515625" style="320" customWidth="1"/>
    <col min="2" max="2" width="14.7109375" style="341" customWidth="1"/>
    <col min="3" max="16384" width="9.140625" style="320"/>
  </cols>
  <sheetData>
    <row r="1" spans="1:178" ht="18.75" x14ac:dyDescent="0.3">
      <c r="A1" s="318" t="s">
        <v>135</v>
      </c>
      <c r="B1" s="318"/>
    </row>
    <row r="2" spans="1:178" ht="22.5" customHeight="1" x14ac:dyDescent="0.3">
      <c r="A2" s="318" t="s">
        <v>152</v>
      </c>
    </row>
    <row r="3" spans="1:178" ht="21" x14ac:dyDescent="0.35">
      <c r="A3" s="321" t="s">
        <v>134</v>
      </c>
      <c r="B3" s="322" t="s">
        <v>176</v>
      </c>
      <c r="C3" s="321">
        <v>2024</v>
      </c>
      <c r="D3" s="322">
        <v>2025</v>
      </c>
      <c r="E3" s="322">
        <v>2026</v>
      </c>
      <c r="F3" s="322">
        <v>2027</v>
      </c>
      <c r="G3" s="322">
        <v>2028</v>
      </c>
      <c r="H3" s="322">
        <v>2029</v>
      </c>
      <c r="I3" s="322">
        <v>2030</v>
      </c>
      <c r="J3" s="322">
        <v>2031</v>
      </c>
      <c r="K3" s="322">
        <v>2032</v>
      </c>
      <c r="L3" s="322">
        <v>2033</v>
      </c>
      <c r="M3" s="322">
        <v>2034</v>
      </c>
      <c r="N3" s="322">
        <v>2035</v>
      </c>
    </row>
    <row r="4" spans="1:178" s="325" customFormat="1" ht="15" x14ac:dyDescent="0.25">
      <c r="A4" s="323" t="s">
        <v>20</v>
      </c>
      <c r="B4" s="342"/>
      <c r="C4" s="324"/>
      <c r="D4" s="324"/>
      <c r="E4" s="324"/>
      <c r="F4" s="324"/>
      <c r="G4" s="324"/>
      <c r="H4" s="324"/>
      <c r="I4" s="324"/>
      <c r="J4" s="324"/>
      <c r="K4" s="324"/>
      <c r="L4" s="324"/>
      <c r="M4" s="324"/>
      <c r="N4" s="324"/>
    </row>
    <row r="5" spans="1:178" ht="15" x14ac:dyDescent="0.25">
      <c r="A5" s="454" t="s">
        <v>224</v>
      </c>
      <c r="B5" s="351" t="s">
        <v>129</v>
      </c>
      <c r="C5" s="327">
        <v>10000</v>
      </c>
      <c r="D5" s="327">
        <v>10000</v>
      </c>
      <c r="E5" s="327">
        <v>10000</v>
      </c>
      <c r="F5" s="327">
        <v>10000</v>
      </c>
      <c r="G5" s="327">
        <v>10000</v>
      </c>
      <c r="H5" s="327">
        <v>10000</v>
      </c>
      <c r="I5" s="327">
        <v>10000</v>
      </c>
      <c r="J5" s="327">
        <v>10000</v>
      </c>
      <c r="K5" s="327">
        <v>10000</v>
      </c>
      <c r="L5" s="327">
        <v>10000</v>
      </c>
      <c r="M5" s="327">
        <v>10000</v>
      </c>
      <c r="N5" s="327">
        <v>10000</v>
      </c>
      <c r="FV5" s="328">
        <f>SUM(C5:FU5)</f>
        <v>120000</v>
      </c>
    </row>
    <row r="6" spans="1:178" ht="15" x14ac:dyDescent="0.25">
      <c r="A6" s="454" t="s">
        <v>225</v>
      </c>
      <c r="B6" s="351" t="s">
        <v>129</v>
      </c>
      <c r="C6" s="327">
        <v>25000</v>
      </c>
      <c r="D6" s="327">
        <v>25000</v>
      </c>
      <c r="E6" s="327">
        <v>25000</v>
      </c>
      <c r="F6" s="327">
        <v>25000</v>
      </c>
      <c r="G6" s="327">
        <v>25000</v>
      </c>
      <c r="H6" s="327">
        <v>25000</v>
      </c>
      <c r="I6" s="327">
        <v>25000</v>
      </c>
      <c r="J6" s="327">
        <v>25000</v>
      </c>
      <c r="K6" s="327">
        <v>25000</v>
      </c>
      <c r="L6" s="327">
        <v>25000</v>
      </c>
      <c r="M6" s="327">
        <v>25000</v>
      </c>
      <c r="N6" s="327">
        <v>25000</v>
      </c>
    </row>
    <row r="7" spans="1:178" ht="11.25" customHeight="1" x14ac:dyDescent="0.25">
      <c r="A7" s="329"/>
      <c r="B7" s="343"/>
      <c r="C7" s="330"/>
      <c r="D7" s="330"/>
      <c r="E7" s="330"/>
      <c r="F7" s="330"/>
      <c r="G7" s="330"/>
      <c r="H7" s="330"/>
      <c r="I7" s="330"/>
      <c r="J7" s="330"/>
      <c r="K7" s="330"/>
      <c r="L7" s="330"/>
      <c r="M7" s="330"/>
      <c r="N7" s="330"/>
    </row>
    <row r="8" spans="1:178" ht="24.75" customHeight="1" x14ac:dyDescent="0.25">
      <c r="A8" s="323" t="s">
        <v>168</v>
      </c>
      <c r="B8" s="342"/>
      <c r="C8" s="331"/>
      <c r="D8" s="331"/>
      <c r="E8" s="331"/>
      <c r="F8" s="331"/>
      <c r="G8" s="331"/>
      <c r="H8" s="331"/>
      <c r="I8" s="331"/>
      <c r="J8" s="331"/>
      <c r="K8" s="331"/>
      <c r="L8" s="331"/>
      <c r="M8" s="331"/>
      <c r="N8" s="331"/>
    </row>
    <row r="9" spans="1:178" s="332" customFormat="1" ht="30" x14ac:dyDescent="0.25">
      <c r="A9" s="326" t="str">
        <f>"Население обхванато в системите за разделно събиране в "&amp;A5</f>
        <v>Население обхванато в системите за разделно събиране в малки населени места (до 3000 жители)</v>
      </c>
      <c r="B9" s="351" t="s">
        <v>129</v>
      </c>
      <c r="C9" s="327">
        <f>C5</f>
        <v>10000</v>
      </c>
      <c r="D9" s="327">
        <f t="shared" ref="D9:N9" si="0">D5</f>
        <v>10000</v>
      </c>
      <c r="E9" s="327">
        <f t="shared" si="0"/>
        <v>10000</v>
      </c>
      <c r="F9" s="327">
        <f t="shared" si="0"/>
        <v>10000</v>
      </c>
      <c r="G9" s="327">
        <f t="shared" si="0"/>
        <v>10000</v>
      </c>
      <c r="H9" s="327">
        <f t="shared" si="0"/>
        <v>10000</v>
      </c>
      <c r="I9" s="327">
        <f t="shared" si="0"/>
        <v>10000</v>
      </c>
      <c r="J9" s="327">
        <f t="shared" si="0"/>
        <v>10000</v>
      </c>
      <c r="K9" s="327">
        <f t="shared" si="0"/>
        <v>10000</v>
      </c>
      <c r="L9" s="327">
        <f t="shared" si="0"/>
        <v>10000</v>
      </c>
      <c r="M9" s="327">
        <f t="shared" si="0"/>
        <v>10000</v>
      </c>
      <c r="N9" s="327">
        <f t="shared" si="0"/>
        <v>10000</v>
      </c>
    </row>
    <row r="10" spans="1:178" s="332" customFormat="1" ht="45" x14ac:dyDescent="0.25">
      <c r="A10" s="326" t="str">
        <f>"Население обхванато в системите за разделно събиране в "&amp;A6</f>
        <v>Население обхванато в системите за разделно събиране в големи населени места (повече от 3000 жители)</v>
      </c>
      <c r="B10" s="351" t="s">
        <v>129</v>
      </c>
      <c r="C10" s="327">
        <f>C6</f>
        <v>25000</v>
      </c>
      <c r="D10" s="327">
        <f t="shared" ref="D10:N10" si="1">D6</f>
        <v>25000</v>
      </c>
      <c r="E10" s="327">
        <f t="shared" si="1"/>
        <v>25000</v>
      </c>
      <c r="F10" s="327">
        <f t="shared" si="1"/>
        <v>25000</v>
      </c>
      <c r="G10" s="327">
        <f t="shared" si="1"/>
        <v>25000</v>
      </c>
      <c r="H10" s="327">
        <f t="shared" si="1"/>
        <v>25000</v>
      </c>
      <c r="I10" s="327">
        <f t="shared" si="1"/>
        <v>25000</v>
      </c>
      <c r="J10" s="327">
        <f t="shared" si="1"/>
        <v>25000</v>
      </c>
      <c r="K10" s="327">
        <f t="shared" si="1"/>
        <v>25000</v>
      </c>
      <c r="L10" s="327">
        <f t="shared" si="1"/>
        <v>25000</v>
      </c>
      <c r="M10" s="327">
        <f t="shared" si="1"/>
        <v>25000</v>
      </c>
      <c r="N10" s="327">
        <f t="shared" si="1"/>
        <v>25000</v>
      </c>
    </row>
    <row r="11" spans="1:178" ht="11.25" customHeight="1" x14ac:dyDescent="0.25">
      <c r="A11" s="329"/>
      <c r="B11" s="343"/>
      <c r="C11" s="330"/>
      <c r="D11" s="330"/>
      <c r="E11" s="330"/>
      <c r="F11" s="330"/>
      <c r="G11" s="330"/>
      <c r="H11" s="330"/>
      <c r="I11" s="330"/>
      <c r="J11" s="330"/>
      <c r="K11" s="330"/>
      <c r="L11" s="330"/>
      <c r="M11" s="330"/>
      <c r="N11" s="330"/>
    </row>
    <row r="12" spans="1:178" ht="24.75" customHeight="1" x14ac:dyDescent="0.25">
      <c r="A12" s="323" t="s">
        <v>14</v>
      </c>
      <c r="B12" s="342"/>
      <c r="C12" s="331"/>
      <c r="D12" s="331"/>
      <c r="E12" s="331"/>
      <c r="F12" s="331"/>
      <c r="G12" s="331"/>
      <c r="H12" s="331"/>
      <c r="I12" s="331"/>
      <c r="J12" s="331"/>
      <c r="K12" s="331"/>
      <c r="L12" s="331"/>
      <c r="M12" s="331"/>
      <c r="N12" s="331"/>
    </row>
    <row r="13" spans="1:178" s="332" customFormat="1" ht="33.75" customHeight="1" x14ac:dyDescent="0.25">
      <c r="A13" s="326" t="str">
        <f>"Нaселение включено в домашно компостиране в "&amp;A5</f>
        <v>Нaселение включено в домашно компостиране в малки населени места (до 3000 жители)</v>
      </c>
      <c r="B13" s="351" t="s">
        <v>129</v>
      </c>
      <c r="C13" s="327">
        <v>0</v>
      </c>
      <c r="D13" s="327">
        <v>7000</v>
      </c>
      <c r="E13" s="327">
        <v>7000</v>
      </c>
      <c r="F13" s="327">
        <v>7000</v>
      </c>
      <c r="G13" s="327">
        <v>7000</v>
      </c>
      <c r="H13" s="327">
        <v>7000</v>
      </c>
      <c r="I13" s="327">
        <v>7000</v>
      </c>
      <c r="J13" s="327">
        <v>7000</v>
      </c>
      <c r="K13" s="327">
        <v>7000</v>
      </c>
      <c r="L13" s="327">
        <v>7000</v>
      </c>
      <c r="M13" s="327">
        <v>7000</v>
      </c>
      <c r="N13" s="327">
        <v>7000</v>
      </c>
    </row>
    <row r="14" spans="1:178" s="332" customFormat="1" ht="36" customHeight="1" x14ac:dyDescent="0.25">
      <c r="A14" s="326" t="str">
        <f>"Нaселение включено в домашно компостиране в "&amp;A6</f>
        <v>Нaселение включено в домашно компостиране в големи населени места (повече от 3000 жители)</v>
      </c>
      <c r="B14" s="351" t="s">
        <v>129</v>
      </c>
      <c r="C14" s="327">
        <v>0</v>
      </c>
      <c r="D14" s="327">
        <v>5000</v>
      </c>
      <c r="E14" s="327">
        <v>5000</v>
      </c>
      <c r="F14" s="327">
        <v>5000</v>
      </c>
      <c r="G14" s="327">
        <v>5000</v>
      </c>
      <c r="H14" s="327">
        <v>5000</v>
      </c>
      <c r="I14" s="327">
        <v>5000</v>
      </c>
      <c r="J14" s="327">
        <v>5000</v>
      </c>
      <c r="K14" s="327">
        <v>5000</v>
      </c>
      <c r="L14" s="327">
        <v>5000</v>
      </c>
      <c r="M14" s="327">
        <v>5000</v>
      </c>
      <c r="N14" s="327">
        <v>5000</v>
      </c>
    </row>
    <row r="15" spans="1:178" ht="11.25" customHeight="1" x14ac:dyDescent="0.25">
      <c r="A15" s="329"/>
      <c r="B15" s="343"/>
      <c r="C15" s="330"/>
      <c r="D15" s="330"/>
      <c r="E15" s="330"/>
      <c r="F15" s="330"/>
      <c r="G15" s="330"/>
      <c r="H15" s="330"/>
      <c r="I15" s="330"/>
      <c r="J15" s="330"/>
      <c r="K15" s="330"/>
      <c r="L15" s="330"/>
      <c r="M15" s="330"/>
      <c r="N15" s="330"/>
    </row>
    <row r="16" spans="1:178" ht="24.75" customHeight="1" x14ac:dyDescent="0.25">
      <c r="A16" s="323" t="s">
        <v>169</v>
      </c>
      <c r="B16" s="342"/>
      <c r="C16" s="331"/>
      <c r="D16" s="331"/>
      <c r="E16" s="331"/>
      <c r="F16" s="331"/>
      <c r="G16" s="331"/>
      <c r="H16" s="331"/>
      <c r="I16" s="331"/>
      <c r="J16" s="331"/>
      <c r="K16" s="331"/>
      <c r="L16" s="331"/>
      <c r="M16" s="331"/>
      <c r="N16" s="331"/>
    </row>
    <row r="17" spans="1:23" s="332" customFormat="1" ht="35.25" customHeight="1" x14ac:dyDescent="0.25">
      <c r="A17" s="326" t="str">
        <f>"Население обхванато с разделно събиране на биоотпадъци в "&amp;A5</f>
        <v>Население обхванато с разделно събиране на биоотпадъци в малки населени места (до 3000 жители)</v>
      </c>
      <c r="B17" s="351" t="s">
        <v>129</v>
      </c>
      <c r="C17" s="327">
        <v>0</v>
      </c>
      <c r="D17" s="327">
        <f>D5-D13</f>
        <v>3000</v>
      </c>
      <c r="E17" s="327">
        <f t="shared" ref="E17:N17" si="2">E5-E13</f>
        <v>3000</v>
      </c>
      <c r="F17" s="327">
        <f t="shared" si="2"/>
        <v>3000</v>
      </c>
      <c r="G17" s="327">
        <f t="shared" si="2"/>
        <v>3000</v>
      </c>
      <c r="H17" s="327">
        <f t="shared" si="2"/>
        <v>3000</v>
      </c>
      <c r="I17" s="327">
        <f t="shared" si="2"/>
        <v>3000</v>
      </c>
      <c r="J17" s="327">
        <f t="shared" si="2"/>
        <v>3000</v>
      </c>
      <c r="K17" s="327">
        <f t="shared" si="2"/>
        <v>3000</v>
      </c>
      <c r="L17" s="327">
        <f t="shared" si="2"/>
        <v>3000</v>
      </c>
      <c r="M17" s="327">
        <f t="shared" si="2"/>
        <v>3000</v>
      </c>
      <c r="N17" s="327">
        <f t="shared" si="2"/>
        <v>3000</v>
      </c>
    </row>
    <row r="18" spans="1:23" s="332" customFormat="1" ht="46.5" customHeight="1" x14ac:dyDescent="0.25">
      <c r="A18" s="326" t="str">
        <f>"Население обхванато с разделно събиране на биоотпадъци в "&amp;A6</f>
        <v>Население обхванато с разделно събиране на биоотпадъци в големи населени места (повече от 3000 жители)</v>
      </c>
      <c r="B18" s="351" t="s">
        <v>129</v>
      </c>
      <c r="C18" s="327">
        <v>0</v>
      </c>
      <c r="D18" s="327">
        <f>D6-D14</f>
        <v>20000</v>
      </c>
      <c r="E18" s="327">
        <f t="shared" ref="E18:N18" si="3">E6-E14</f>
        <v>20000</v>
      </c>
      <c r="F18" s="327">
        <f t="shared" si="3"/>
        <v>20000</v>
      </c>
      <c r="G18" s="327">
        <f t="shared" si="3"/>
        <v>20000</v>
      </c>
      <c r="H18" s="327">
        <f t="shared" si="3"/>
        <v>20000</v>
      </c>
      <c r="I18" s="327">
        <f t="shared" si="3"/>
        <v>20000</v>
      </c>
      <c r="J18" s="327">
        <f t="shared" si="3"/>
        <v>20000</v>
      </c>
      <c r="K18" s="327">
        <f t="shared" si="3"/>
        <v>20000</v>
      </c>
      <c r="L18" s="327">
        <f t="shared" si="3"/>
        <v>20000</v>
      </c>
      <c r="M18" s="327">
        <f t="shared" si="3"/>
        <v>20000</v>
      </c>
      <c r="N18" s="327">
        <f t="shared" si="3"/>
        <v>20000</v>
      </c>
    </row>
    <row r="19" spans="1:23" ht="14.25" customHeight="1" x14ac:dyDescent="0.2">
      <c r="A19" s="333"/>
      <c r="C19" s="328"/>
      <c r="D19" s="328"/>
      <c r="E19" s="328"/>
      <c r="F19" s="328"/>
      <c r="G19" s="328"/>
      <c r="H19" s="328"/>
      <c r="I19" s="328"/>
      <c r="J19" s="328"/>
      <c r="K19" s="328"/>
      <c r="L19" s="328"/>
      <c r="M19" s="328"/>
      <c r="N19" s="328"/>
    </row>
    <row r="20" spans="1:23" ht="21" x14ac:dyDescent="0.35">
      <c r="A20" s="321" t="s">
        <v>229</v>
      </c>
      <c r="B20" s="322" t="s">
        <v>176</v>
      </c>
      <c r="C20" s="321">
        <v>2024</v>
      </c>
      <c r="D20" s="322">
        <v>2025</v>
      </c>
      <c r="E20" s="322">
        <v>2026</v>
      </c>
      <c r="F20" s="322">
        <v>2027</v>
      </c>
      <c r="G20" s="322">
        <v>2028</v>
      </c>
      <c r="H20" s="322">
        <v>2029</v>
      </c>
      <c r="I20" s="322">
        <v>2030</v>
      </c>
      <c r="J20" s="322">
        <v>2031</v>
      </c>
      <c r="K20" s="322">
        <v>2032</v>
      </c>
      <c r="L20" s="322">
        <v>2033</v>
      </c>
      <c r="M20" s="322">
        <v>2034</v>
      </c>
      <c r="N20" s="322">
        <v>2035</v>
      </c>
    </row>
    <row r="21" spans="1:23" s="72" customFormat="1" ht="23.25" x14ac:dyDescent="0.35">
      <c r="A21" s="141" t="str">
        <f>'Изходни данни'!A5</f>
        <v>малки населени места (до 3000 жители)</v>
      </c>
      <c r="B21" s="137"/>
      <c r="C21" s="137"/>
      <c r="D21" s="138"/>
      <c r="E21" s="137"/>
      <c r="F21" s="137"/>
      <c r="G21" s="137"/>
      <c r="H21" s="137"/>
      <c r="I21" s="137"/>
      <c r="J21" s="137"/>
      <c r="K21" s="137"/>
      <c r="L21" s="137"/>
      <c r="M21" s="137"/>
      <c r="N21" s="137"/>
    </row>
    <row r="22" spans="1:23" s="61" customFormat="1" ht="6" customHeight="1" x14ac:dyDescent="0.25">
      <c r="A22" s="73"/>
      <c r="B22" s="73"/>
      <c r="C22" s="75"/>
      <c r="D22" s="75"/>
      <c r="E22" s="75"/>
      <c r="F22" s="75"/>
      <c r="G22" s="75"/>
      <c r="H22" s="75"/>
      <c r="I22" s="75"/>
      <c r="J22" s="75"/>
      <c r="K22" s="75"/>
      <c r="L22" s="75"/>
      <c r="M22" s="75"/>
      <c r="N22" s="75"/>
    </row>
    <row r="23" spans="1:23" s="61" customFormat="1" ht="15" x14ac:dyDescent="0.25">
      <c r="A23" s="108" t="s">
        <v>186</v>
      </c>
      <c r="B23" s="307" t="s">
        <v>185</v>
      </c>
      <c r="C23" s="78">
        <v>3000</v>
      </c>
      <c r="D23" s="78">
        <v>3000</v>
      </c>
      <c r="E23" s="78">
        <v>3000</v>
      </c>
      <c r="F23" s="78">
        <v>3000</v>
      </c>
      <c r="G23" s="78">
        <v>3000</v>
      </c>
      <c r="H23" s="78">
        <v>3000</v>
      </c>
      <c r="I23" s="78">
        <v>3000</v>
      </c>
      <c r="J23" s="78">
        <v>3000</v>
      </c>
      <c r="K23" s="78">
        <v>3000</v>
      </c>
      <c r="L23" s="78">
        <v>3000</v>
      </c>
      <c r="M23" s="78">
        <v>3000</v>
      </c>
      <c r="N23" s="78">
        <v>3000</v>
      </c>
    </row>
    <row r="24" spans="1:23" s="61" customFormat="1" ht="5.25" customHeight="1" x14ac:dyDescent="0.25">
      <c r="A24" s="108"/>
      <c r="B24" s="307"/>
      <c r="C24" s="76"/>
      <c r="D24" s="76"/>
      <c r="E24" s="76"/>
      <c r="F24" s="76"/>
      <c r="G24" s="76"/>
      <c r="H24" s="76"/>
      <c r="I24" s="76"/>
      <c r="J24" s="76"/>
      <c r="K24" s="76"/>
      <c r="L24" s="76"/>
      <c r="M24" s="76"/>
      <c r="N24" s="76"/>
    </row>
    <row r="25" spans="1:23" s="61" customFormat="1" ht="15" x14ac:dyDescent="0.25">
      <c r="A25" s="109" t="s">
        <v>166</v>
      </c>
      <c r="B25" s="308"/>
      <c r="C25" s="74"/>
      <c r="D25" s="74"/>
      <c r="E25" s="74"/>
      <c r="F25" s="74"/>
      <c r="G25" s="74"/>
      <c r="H25" s="74"/>
      <c r="I25" s="74"/>
      <c r="J25" s="74"/>
      <c r="K25" s="74"/>
      <c r="L25" s="74"/>
      <c r="M25" s="74"/>
      <c r="N25" s="74"/>
    </row>
    <row r="26" spans="1:23" s="61" customFormat="1" ht="15" x14ac:dyDescent="0.25">
      <c r="A26" s="110" t="s">
        <v>0</v>
      </c>
      <c r="B26" s="309" t="s">
        <v>19</v>
      </c>
      <c r="C26" s="187">
        <v>0.21</v>
      </c>
      <c r="D26" s="70">
        <v>0.21</v>
      </c>
      <c r="E26" s="70">
        <v>0.21</v>
      </c>
      <c r="F26" s="70">
        <v>0.21</v>
      </c>
      <c r="G26" s="70">
        <v>0.21</v>
      </c>
      <c r="H26" s="70">
        <v>0.21</v>
      </c>
      <c r="I26" s="70">
        <v>0.21</v>
      </c>
      <c r="J26" s="70">
        <v>0.21</v>
      </c>
      <c r="K26" s="70">
        <v>0.21</v>
      </c>
      <c r="L26" s="70">
        <v>0.21</v>
      </c>
      <c r="M26" s="70">
        <v>0.21</v>
      </c>
      <c r="N26" s="70">
        <v>0.21</v>
      </c>
      <c r="O26" s="64"/>
      <c r="P26" s="64"/>
      <c r="Q26" s="64"/>
      <c r="R26" s="64"/>
      <c r="S26" s="64"/>
      <c r="T26" s="64"/>
      <c r="U26" s="64"/>
      <c r="V26" s="64"/>
      <c r="W26" s="64"/>
    </row>
    <row r="27" spans="1:23" s="61" customFormat="1" ht="15" x14ac:dyDescent="0.25">
      <c r="A27" s="110" t="s">
        <v>1</v>
      </c>
      <c r="B27" s="309" t="s">
        <v>19</v>
      </c>
      <c r="C27" s="70">
        <v>0.06</v>
      </c>
      <c r="D27" s="70">
        <v>0.06</v>
      </c>
      <c r="E27" s="70">
        <v>0.06</v>
      </c>
      <c r="F27" s="70">
        <v>0.06</v>
      </c>
      <c r="G27" s="70">
        <v>0.06</v>
      </c>
      <c r="H27" s="70">
        <v>0.06</v>
      </c>
      <c r="I27" s="70">
        <v>0.06</v>
      </c>
      <c r="J27" s="70">
        <v>0.06</v>
      </c>
      <c r="K27" s="70">
        <v>0.06</v>
      </c>
      <c r="L27" s="70">
        <v>0.06</v>
      </c>
      <c r="M27" s="70">
        <v>0.06</v>
      </c>
      <c r="N27" s="70">
        <v>0.06</v>
      </c>
      <c r="O27" s="64"/>
      <c r="P27" s="64"/>
      <c r="Q27" s="64"/>
      <c r="R27" s="64"/>
      <c r="S27" s="64"/>
      <c r="T27" s="64"/>
      <c r="U27" s="64"/>
      <c r="V27" s="64"/>
      <c r="W27" s="64"/>
    </row>
    <row r="28" spans="1:23" s="61" customFormat="1" ht="15" x14ac:dyDescent="0.25">
      <c r="A28" s="110" t="s">
        <v>2</v>
      </c>
      <c r="B28" s="309" t="s">
        <v>19</v>
      </c>
      <c r="C28" s="70">
        <v>0.115</v>
      </c>
      <c r="D28" s="70">
        <v>0.115</v>
      </c>
      <c r="E28" s="70">
        <v>0.115</v>
      </c>
      <c r="F28" s="70">
        <v>0.115</v>
      </c>
      <c r="G28" s="70">
        <v>0.115</v>
      </c>
      <c r="H28" s="70">
        <v>0.115</v>
      </c>
      <c r="I28" s="70">
        <v>0.115</v>
      </c>
      <c r="J28" s="70">
        <v>0.115</v>
      </c>
      <c r="K28" s="70">
        <v>0.115</v>
      </c>
      <c r="L28" s="70">
        <v>0.115</v>
      </c>
      <c r="M28" s="70">
        <v>0.115</v>
      </c>
      <c r="N28" s="70">
        <v>0.115</v>
      </c>
      <c r="O28" s="64"/>
      <c r="P28" s="64"/>
      <c r="Q28" s="64"/>
      <c r="R28" s="64"/>
      <c r="S28" s="64"/>
      <c r="T28" s="64"/>
      <c r="U28" s="64"/>
      <c r="V28" s="64"/>
      <c r="W28" s="64"/>
    </row>
    <row r="29" spans="1:23" s="61" customFormat="1" ht="15" x14ac:dyDescent="0.25">
      <c r="A29" s="110" t="s">
        <v>3</v>
      </c>
      <c r="B29" s="309" t="s">
        <v>19</v>
      </c>
      <c r="C29" s="70">
        <v>0.14000000000000001</v>
      </c>
      <c r="D29" s="70">
        <v>0.14000000000000001</v>
      </c>
      <c r="E29" s="70">
        <v>0.14000000000000001</v>
      </c>
      <c r="F29" s="70">
        <v>0.14000000000000001</v>
      </c>
      <c r="G29" s="70">
        <v>0.14000000000000001</v>
      </c>
      <c r="H29" s="70">
        <v>0.14000000000000001</v>
      </c>
      <c r="I29" s="70">
        <v>0.14000000000000001</v>
      </c>
      <c r="J29" s="70">
        <v>0.14000000000000001</v>
      </c>
      <c r="K29" s="70">
        <v>0.14000000000000001</v>
      </c>
      <c r="L29" s="70">
        <v>0.14000000000000001</v>
      </c>
      <c r="M29" s="70">
        <v>0.14000000000000001</v>
      </c>
      <c r="N29" s="70">
        <v>0.14000000000000001</v>
      </c>
      <c r="O29" s="64"/>
      <c r="P29" s="64"/>
      <c r="Q29" s="64"/>
      <c r="R29" s="64"/>
      <c r="S29" s="64"/>
      <c r="T29" s="64"/>
      <c r="U29" s="64"/>
      <c r="V29" s="64"/>
      <c r="W29" s="64"/>
    </row>
    <row r="30" spans="1:23" s="61" customFormat="1" ht="15" x14ac:dyDescent="0.25">
      <c r="A30" s="110" t="s">
        <v>4</v>
      </c>
      <c r="B30" s="309" t="s">
        <v>19</v>
      </c>
      <c r="C30" s="70">
        <v>0.04</v>
      </c>
      <c r="D30" s="70">
        <v>0.04</v>
      </c>
      <c r="E30" s="70">
        <v>0.04</v>
      </c>
      <c r="F30" s="70">
        <v>0.04</v>
      </c>
      <c r="G30" s="70">
        <v>0.04</v>
      </c>
      <c r="H30" s="70">
        <v>0.04</v>
      </c>
      <c r="I30" s="70">
        <v>0.04</v>
      </c>
      <c r="J30" s="70">
        <v>0.04</v>
      </c>
      <c r="K30" s="70">
        <v>0.04</v>
      </c>
      <c r="L30" s="70">
        <v>0.04</v>
      </c>
      <c r="M30" s="70">
        <v>0.04</v>
      </c>
      <c r="N30" s="70">
        <v>0.04</v>
      </c>
      <c r="O30" s="64"/>
      <c r="P30" s="64"/>
      <c r="Q30" s="64"/>
      <c r="R30" s="64"/>
      <c r="S30" s="64"/>
      <c r="T30" s="64"/>
      <c r="U30" s="64"/>
      <c r="V30" s="64"/>
      <c r="W30" s="64"/>
    </row>
    <row r="31" spans="1:23" s="61" customFormat="1" ht="15" x14ac:dyDescent="0.25">
      <c r="A31" s="110" t="s">
        <v>5</v>
      </c>
      <c r="B31" s="309" t="s">
        <v>19</v>
      </c>
      <c r="C31" s="70">
        <v>0.01</v>
      </c>
      <c r="D31" s="70">
        <v>0.01</v>
      </c>
      <c r="E31" s="70">
        <v>0.01</v>
      </c>
      <c r="F31" s="70">
        <v>0.01</v>
      </c>
      <c r="G31" s="70">
        <v>0.01</v>
      </c>
      <c r="H31" s="70">
        <v>0.01</v>
      </c>
      <c r="I31" s="70">
        <v>0.01</v>
      </c>
      <c r="J31" s="70">
        <v>0.01</v>
      </c>
      <c r="K31" s="70">
        <v>0.01</v>
      </c>
      <c r="L31" s="70">
        <v>0.01</v>
      </c>
      <c r="M31" s="70">
        <v>0.01</v>
      </c>
      <c r="N31" s="70">
        <v>0.01</v>
      </c>
      <c r="O31" s="64"/>
      <c r="P31" s="64"/>
      <c r="Q31" s="64"/>
      <c r="R31" s="64"/>
      <c r="S31" s="64"/>
      <c r="T31" s="64"/>
      <c r="U31" s="64"/>
      <c r="V31" s="64"/>
      <c r="W31" s="64"/>
    </row>
    <row r="32" spans="1:23" s="61" customFormat="1" ht="15" x14ac:dyDescent="0.25">
      <c r="A32" s="110" t="s">
        <v>6</v>
      </c>
      <c r="B32" s="309" t="s">
        <v>19</v>
      </c>
      <c r="C32" s="70">
        <v>0.01</v>
      </c>
      <c r="D32" s="70">
        <v>0.01</v>
      </c>
      <c r="E32" s="70">
        <v>0.01</v>
      </c>
      <c r="F32" s="70">
        <v>0.01</v>
      </c>
      <c r="G32" s="70">
        <v>0.01</v>
      </c>
      <c r="H32" s="70">
        <v>0.01</v>
      </c>
      <c r="I32" s="70">
        <v>0.01</v>
      </c>
      <c r="J32" s="70">
        <v>0.01</v>
      </c>
      <c r="K32" s="70">
        <v>0.01</v>
      </c>
      <c r="L32" s="70">
        <v>0.01</v>
      </c>
      <c r="M32" s="70">
        <v>0.01</v>
      </c>
      <c r="N32" s="70">
        <v>0.01</v>
      </c>
      <c r="O32" s="64"/>
      <c r="P32" s="64"/>
      <c r="Q32" s="64"/>
      <c r="R32" s="64"/>
      <c r="S32" s="64"/>
      <c r="T32" s="64"/>
      <c r="U32" s="64"/>
      <c r="V32" s="64"/>
      <c r="W32" s="64"/>
    </row>
    <row r="33" spans="1:23" s="61" customFormat="1" ht="15" x14ac:dyDescent="0.25">
      <c r="A33" s="110" t="s">
        <v>12</v>
      </c>
      <c r="B33" s="309" t="s">
        <v>19</v>
      </c>
      <c r="C33" s="70">
        <v>0.15</v>
      </c>
      <c r="D33" s="70">
        <v>0.15</v>
      </c>
      <c r="E33" s="70">
        <v>0.15</v>
      </c>
      <c r="F33" s="70">
        <v>0.15</v>
      </c>
      <c r="G33" s="70">
        <v>0.15</v>
      </c>
      <c r="H33" s="70">
        <v>0.15</v>
      </c>
      <c r="I33" s="70">
        <v>0.15</v>
      </c>
      <c r="J33" s="70">
        <v>0.15</v>
      </c>
      <c r="K33" s="70">
        <v>0.15</v>
      </c>
      <c r="L33" s="70">
        <v>0.15</v>
      </c>
      <c r="M33" s="70">
        <v>0.15</v>
      </c>
      <c r="N33" s="70">
        <v>0.15</v>
      </c>
      <c r="O33" s="64"/>
      <c r="P33" s="64"/>
      <c r="Q33" s="64"/>
      <c r="R33" s="64"/>
      <c r="S33" s="64"/>
      <c r="T33" s="64"/>
      <c r="U33" s="64"/>
      <c r="V33" s="64"/>
      <c r="W33" s="64"/>
    </row>
    <row r="34" spans="1:23" s="61" customFormat="1" ht="15" x14ac:dyDescent="0.25">
      <c r="A34" s="110" t="s">
        <v>11</v>
      </c>
      <c r="B34" s="309" t="s">
        <v>19</v>
      </c>
      <c r="C34" s="70">
        <v>2.5000000000000001E-2</v>
      </c>
      <c r="D34" s="70">
        <v>2.5000000000000001E-2</v>
      </c>
      <c r="E34" s="70">
        <v>2.5000000000000001E-2</v>
      </c>
      <c r="F34" s="70">
        <v>2.5000000000000001E-2</v>
      </c>
      <c r="G34" s="70">
        <v>2.5000000000000001E-2</v>
      </c>
      <c r="H34" s="70">
        <v>2.5000000000000001E-2</v>
      </c>
      <c r="I34" s="70">
        <v>2.5000000000000001E-2</v>
      </c>
      <c r="J34" s="70">
        <v>2.5000000000000001E-2</v>
      </c>
      <c r="K34" s="70">
        <v>2.5000000000000001E-2</v>
      </c>
      <c r="L34" s="70">
        <v>2.5000000000000001E-2</v>
      </c>
      <c r="M34" s="70">
        <v>2.5000000000000001E-2</v>
      </c>
      <c r="N34" s="70">
        <v>2.5000000000000001E-2</v>
      </c>
      <c r="O34" s="64"/>
      <c r="P34" s="64"/>
      <c r="Q34" s="64"/>
      <c r="R34" s="64"/>
      <c r="S34" s="64"/>
      <c r="T34" s="64"/>
      <c r="U34" s="64"/>
      <c r="V34" s="64"/>
      <c r="W34" s="64"/>
    </row>
    <row r="35" spans="1:23" s="61" customFormat="1" ht="15" x14ac:dyDescent="0.25">
      <c r="A35" s="110" t="s">
        <v>7</v>
      </c>
      <c r="B35" s="309" t="s">
        <v>19</v>
      </c>
      <c r="C35" s="70">
        <v>0.08</v>
      </c>
      <c r="D35" s="70">
        <v>0.08</v>
      </c>
      <c r="E35" s="70">
        <v>0.08</v>
      </c>
      <c r="F35" s="70">
        <v>0.08</v>
      </c>
      <c r="G35" s="70">
        <v>0.08</v>
      </c>
      <c r="H35" s="70">
        <v>0.08</v>
      </c>
      <c r="I35" s="70">
        <v>0.08</v>
      </c>
      <c r="J35" s="70">
        <v>0.08</v>
      </c>
      <c r="K35" s="70">
        <v>0.08</v>
      </c>
      <c r="L35" s="70">
        <v>0.08</v>
      </c>
      <c r="M35" s="70">
        <v>0.08</v>
      </c>
      <c r="N35" s="70">
        <v>0.08</v>
      </c>
      <c r="O35" s="64"/>
      <c r="P35" s="64"/>
      <c r="Q35" s="64"/>
      <c r="R35" s="64"/>
      <c r="S35" s="64"/>
      <c r="T35" s="64"/>
      <c r="U35" s="64"/>
      <c r="V35" s="64"/>
      <c r="W35" s="64"/>
    </row>
    <row r="36" spans="1:23" s="61" customFormat="1" ht="15" x14ac:dyDescent="0.25">
      <c r="A36" s="110" t="s">
        <v>8</v>
      </c>
      <c r="B36" s="309" t="s">
        <v>19</v>
      </c>
      <c r="C36" s="70">
        <v>2.5000000000000001E-2</v>
      </c>
      <c r="D36" s="70">
        <v>2.5000000000000001E-2</v>
      </c>
      <c r="E36" s="70">
        <v>2.5000000000000001E-2</v>
      </c>
      <c r="F36" s="70">
        <v>2.5000000000000001E-2</v>
      </c>
      <c r="G36" s="70">
        <v>2.5000000000000001E-2</v>
      </c>
      <c r="H36" s="70">
        <v>2.5000000000000001E-2</v>
      </c>
      <c r="I36" s="70">
        <v>2.5000000000000001E-2</v>
      </c>
      <c r="J36" s="70">
        <v>2.5000000000000001E-2</v>
      </c>
      <c r="K36" s="70">
        <v>2.5000000000000001E-2</v>
      </c>
      <c r="L36" s="70">
        <v>2.5000000000000001E-2</v>
      </c>
      <c r="M36" s="70">
        <v>2.5000000000000001E-2</v>
      </c>
      <c r="N36" s="70">
        <v>2.5000000000000001E-2</v>
      </c>
      <c r="O36" s="64"/>
      <c r="P36" s="64"/>
      <c r="Q36" s="64"/>
      <c r="R36" s="64"/>
      <c r="S36" s="64"/>
      <c r="T36" s="64"/>
      <c r="U36" s="64"/>
      <c r="V36" s="64"/>
      <c r="W36" s="64"/>
    </row>
    <row r="37" spans="1:23" s="61" customFormat="1" ht="15" x14ac:dyDescent="0.25">
      <c r="A37" s="110" t="s">
        <v>9</v>
      </c>
      <c r="B37" s="309" t="s">
        <v>19</v>
      </c>
      <c r="C37" s="70">
        <v>0.13</v>
      </c>
      <c r="D37" s="70">
        <v>0.13</v>
      </c>
      <c r="E37" s="70">
        <v>0.13</v>
      </c>
      <c r="F37" s="70">
        <v>0.13</v>
      </c>
      <c r="G37" s="70">
        <v>0.13</v>
      </c>
      <c r="H37" s="70">
        <v>0.13</v>
      </c>
      <c r="I37" s="70">
        <v>0.13</v>
      </c>
      <c r="J37" s="70">
        <v>0.13</v>
      </c>
      <c r="K37" s="70">
        <v>0.13</v>
      </c>
      <c r="L37" s="70">
        <v>0.13</v>
      </c>
      <c r="M37" s="70">
        <v>0.13</v>
      </c>
      <c r="N37" s="70">
        <v>0.13</v>
      </c>
      <c r="O37" s="64"/>
      <c r="P37" s="64"/>
      <c r="Q37" s="64"/>
      <c r="R37" s="64"/>
      <c r="S37" s="64"/>
      <c r="T37" s="64"/>
      <c r="U37" s="64"/>
      <c r="V37" s="64"/>
      <c r="W37" s="64"/>
    </row>
    <row r="38" spans="1:23" s="61" customFormat="1" ht="15" x14ac:dyDescent="0.25">
      <c r="A38" s="110" t="s">
        <v>10</v>
      </c>
      <c r="B38" s="309" t="s">
        <v>19</v>
      </c>
      <c r="C38" s="70">
        <v>5.0000000000000001E-3</v>
      </c>
      <c r="D38" s="70">
        <v>5.0000000000000001E-3</v>
      </c>
      <c r="E38" s="70">
        <v>5.0000000000000001E-3</v>
      </c>
      <c r="F38" s="70">
        <v>5.0000000000000001E-3</v>
      </c>
      <c r="G38" s="70">
        <v>5.0000000000000001E-3</v>
      </c>
      <c r="H38" s="70">
        <v>5.0000000000000001E-3</v>
      </c>
      <c r="I38" s="70">
        <v>5.0000000000000001E-3</v>
      </c>
      <c r="J38" s="70">
        <v>5.0000000000000001E-3</v>
      </c>
      <c r="K38" s="70">
        <v>5.0000000000000001E-3</v>
      </c>
      <c r="L38" s="70">
        <v>5.0000000000000001E-3</v>
      </c>
      <c r="M38" s="70">
        <v>5.0000000000000001E-3</v>
      </c>
      <c r="N38" s="70">
        <v>5.0000000000000001E-3</v>
      </c>
      <c r="O38" s="64"/>
      <c r="P38" s="64"/>
      <c r="Q38" s="64"/>
      <c r="R38" s="64"/>
      <c r="S38" s="64"/>
      <c r="T38" s="64"/>
      <c r="U38" s="64"/>
      <c r="V38" s="64"/>
      <c r="W38" s="64"/>
    </row>
    <row r="39" spans="1:23" s="55" customFormat="1" ht="15" x14ac:dyDescent="0.25">
      <c r="A39" s="111"/>
      <c r="B39" s="310"/>
      <c r="C39" s="75">
        <f t="shared" ref="C39:N39" si="4">SUM(C26:C38)</f>
        <v>1</v>
      </c>
      <c r="D39" s="75">
        <f t="shared" si="4"/>
        <v>1</v>
      </c>
      <c r="E39" s="75">
        <f t="shared" si="4"/>
        <v>1</v>
      </c>
      <c r="F39" s="75">
        <f t="shared" si="4"/>
        <v>1</v>
      </c>
      <c r="G39" s="75">
        <f t="shared" si="4"/>
        <v>1</v>
      </c>
      <c r="H39" s="75">
        <f t="shared" si="4"/>
        <v>1</v>
      </c>
      <c r="I39" s="75">
        <f t="shared" si="4"/>
        <v>1</v>
      </c>
      <c r="J39" s="75">
        <f t="shared" si="4"/>
        <v>1</v>
      </c>
      <c r="K39" s="75">
        <f t="shared" si="4"/>
        <v>1</v>
      </c>
      <c r="L39" s="75">
        <f t="shared" si="4"/>
        <v>1</v>
      </c>
      <c r="M39" s="75">
        <f t="shared" si="4"/>
        <v>1</v>
      </c>
      <c r="N39" s="75">
        <f t="shared" si="4"/>
        <v>1</v>
      </c>
    </row>
    <row r="40" spans="1:23" s="55" customFormat="1" ht="15" x14ac:dyDescent="0.25">
      <c r="A40" s="111"/>
      <c r="B40" s="310"/>
      <c r="C40" s="75"/>
      <c r="D40" s="75"/>
      <c r="E40" s="75"/>
      <c r="F40" s="75"/>
      <c r="G40" s="75"/>
      <c r="H40" s="75"/>
      <c r="I40" s="75"/>
      <c r="J40" s="75"/>
      <c r="K40" s="75"/>
      <c r="L40" s="75"/>
      <c r="M40" s="75"/>
      <c r="N40" s="75"/>
    </row>
    <row r="41" spans="1:23" s="64" customFormat="1" ht="15" x14ac:dyDescent="0.25">
      <c r="A41" s="108" t="s">
        <v>162</v>
      </c>
      <c r="B41" s="307" t="s">
        <v>185</v>
      </c>
      <c r="C41" s="78">
        <v>300</v>
      </c>
      <c r="D41" s="78">
        <v>300</v>
      </c>
      <c r="E41" s="78">
        <v>300</v>
      </c>
      <c r="F41" s="78">
        <v>300</v>
      </c>
      <c r="G41" s="78">
        <v>300</v>
      </c>
      <c r="H41" s="78">
        <v>300</v>
      </c>
      <c r="I41" s="78">
        <v>300</v>
      </c>
      <c r="J41" s="78">
        <v>300</v>
      </c>
      <c r="K41" s="78">
        <v>300</v>
      </c>
      <c r="L41" s="78">
        <v>300</v>
      </c>
      <c r="M41" s="78">
        <v>300</v>
      </c>
      <c r="N41" s="78">
        <v>300</v>
      </c>
    </row>
    <row r="42" spans="1:23" s="64" customFormat="1" ht="9" customHeight="1" x14ac:dyDescent="0.25">
      <c r="A42" s="108"/>
      <c r="B42" s="307"/>
      <c r="C42" s="76"/>
      <c r="D42" s="76"/>
      <c r="E42" s="76"/>
      <c r="F42" s="76"/>
      <c r="G42" s="76"/>
      <c r="H42" s="76"/>
      <c r="I42" s="76"/>
      <c r="J42" s="76"/>
      <c r="K42" s="76"/>
      <c r="L42" s="76"/>
      <c r="M42" s="76"/>
      <c r="N42" s="76"/>
    </row>
    <row r="43" spans="1:23" s="61" customFormat="1" ht="15" x14ac:dyDescent="0.25">
      <c r="A43" s="109" t="s">
        <v>163</v>
      </c>
      <c r="B43" s="308"/>
      <c r="C43" s="74"/>
      <c r="D43" s="74"/>
      <c r="E43" s="74"/>
      <c r="F43" s="74"/>
      <c r="G43" s="74"/>
      <c r="H43" s="74"/>
      <c r="I43" s="74"/>
      <c r="J43" s="74"/>
      <c r="K43" s="74"/>
      <c r="L43" s="74"/>
      <c r="M43" s="74"/>
      <c r="N43" s="74"/>
    </row>
    <row r="44" spans="1:23" s="61" customFormat="1" ht="15" x14ac:dyDescent="0.25">
      <c r="A44" s="110" t="s">
        <v>0</v>
      </c>
      <c r="B44" s="309" t="s">
        <v>19</v>
      </c>
      <c r="C44" s="70">
        <v>0.21</v>
      </c>
      <c r="D44" s="70">
        <v>0.21</v>
      </c>
      <c r="E44" s="70">
        <v>0.21</v>
      </c>
      <c r="F44" s="70">
        <v>0.21</v>
      </c>
      <c r="G44" s="70">
        <v>0.21</v>
      </c>
      <c r="H44" s="70">
        <v>0.21</v>
      </c>
      <c r="I44" s="70">
        <v>0.21</v>
      </c>
      <c r="J44" s="70">
        <v>0.21</v>
      </c>
      <c r="K44" s="70">
        <v>0.21</v>
      </c>
      <c r="L44" s="70">
        <v>0.21</v>
      </c>
      <c r="M44" s="70">
        <v>0.21</v>
      </c>
      <c r="N44" s="70">
        <v>0.21</v>
      </c>
      <c r="O44" s="64"/>
      <c r="P44" s="64"/>
      <c r="Q44" s="64"/>
      <c r="R44" s="64"/>
      <c r="S44" s="64"/>
      <c r="T44" s="64"/>
      <c r="U44" s="64"/>
      <c r="V44" s="64"/>
      <c r="W44" s="64"/>
    </row>
    <row r="45" spans="1:23" s="61" customFormat="1" ht="15" x14ac:dyDescent="0.25">
      <c r="A45" s="110" t="s">
        <v>1</v>
      </c>
      <c r="B45" s="309" t="s">
        <v>19</v>
      </c>
      <c r="C45" s="70">
        <v>0.13</v>
      </c>
      <c r="D45" s="70">
        <v>0.13</v>
      </c>
      <c r="E45" s="70">
        <v>0.13</v>
      </c>
      <c r="F45" s="70">
        <v>0.13</v>
      </c>
      <c r="G45" s="70">
        <v>0.13</v>
      </c>
      <c r="H45" s="70">
        <v>0.13</v>
      </c>
      <c r="I45" s="70">
        <v>0.13</v>
      </c>
      <c r="J45" s="70">
        <v>0.13</v>
      </c>
      <c r="K45" s="70">
        <v>0.13</v>
      </c>
      <c r="L45" s="70">
        <v>0.13</v>
      </c>
      <c r="M45" s="70">
        <v>0.13</v>
      </c>
      <c r="N45" s="70">
        <v>0.13</v>
      </c>
      <c r="O45" s="64"/>
      <c r="P45" s="64"/>
      <c r="Q45" s="64"/>
      <c r="R45" s="64"/>
      <c r="S45" s="64"/>
      <c r="T45" s="64"/>
      <c r="U45" s="64"/>
      <c r="V45" s="64"/>
      <c r="W45" s="64"/>
    </row>
    <row r="46" spans="1:23" s="61" customFormat="1" ht="15" x14ac:dyDescent="0.25">
      <c r="A46" s="110" t="s">
        <v>2</v>
      </c>
      <c r="B46" s="309" t="s">
        <v>19</v>
      </c>
      <c r="C46" s="70">
        <v>0.14000000000000001</v>
      </c>
      <c r="D46" s="70">
        <v>0.14000000000000001</v>
      </c>
      <c r="E46" s="70">
        <v>0.14000000000000001</v>
      </c>
      <c r="F46" s="70">
        <v>0.14000000000000001</v>
      </c>
      <c r="G46" s="70">
        <v>0.14000000000000001</v>
      </c>
      <c r="H46" s="70">
        <v>0.14000000000000001</v>
      </c>
      <c r="I46" s="70">
        <v>0.14000000000000001</v>
      </c>
      <c r="J46" s="70">
        <v>0.14000000000000001</v>
      </c>
      <c r="K46" s="70">
        <v>0.14000000000000001</v>
      </c>
      <c r="L46" s="70">
        <v>0.14000000000000001</v>
      </c>
      <c r="M46" s="70">
        <v>0.14000000000000001</v>
      </c>
      <c r="N46" s="70">
        <v>0.14000000000000001</v>
      </c>
      <c r="O46" s="64"/>
      <c r="P46" s="64"/>
      <c r="Q46" s="64"/>
      <c r="R46" s="64"/>
      <c r="S46" s="64"/>
      <c r="T46" s="64"/>
      <c r="U46" s="64"/>
      <c r="V46" s="64"/>
      <c r="W46" s="64"/>
    </row>
    <row r="47" spans="1:23" s="61" customFormat="1" ht="15" x14ac:dyDescent="0.25">
      <c r="A47" s="110" t="s">
        <v>3</v>
      </c>
      <c r="B47" s="309" t="s">
        <v>19</v>
      </c>
      <c r="C47" s="70">
        <v>0.14000000000000001</v>
      </c>
      <c r="D47" s="70">
        <v>0.14000000000000001</v>
      </c>
      <c r="E47" s="70">
        <v>0.14000000000000001</v>
      </c>
      <c r="F47" s="70">
        <v>0.14000000000000001</v>
      </c>
      <c r="G47" s="70">
        <v>0.14000000000000001</v>
      </c>
      <c r="H47" s="70">
        <v>0.14000000000000001</v>
      </c>
      <c r="I47" s="70">
        <v>0.14000000000000001</v>
      </c>
      <c r="J47" s="70">
        <v>0.14000000000000001</v>
      </c>
      <c r="K47" s="70">
        <v>0.14000000000000001</v>
      </c>
      <c r="L47" s="70">
        <v>0.14000000000000001</v>
      </c>
      <c r="M47" s="70">
        <v>0.14000000000000001</v>
      </c>
      <c r="N47" s="70">
        <v>0.14000000000000001</v>
      </c>
      <c r="O47" s="64"/>
      <c r="P47" s="64"/>
      <c r="Q47" s="64"/>
      <c r="R47" s="64"/>
      <c r="S47" s="64"/>
      <c r="T47" s="64"/>
      <c r="U47" s="64"/>
      <c r="V47" s="64"/>
      <c r="W47" s="64"/>
    </row>
    <row r="48" spans="1:23" s="61" customFormat="1" ht="15" x14ac:dyDescent="0.25">
      <c r="A48" s="110" t="s">
        <v>4</v>
      </c>
      <c r="B48" s="309" t="s">
        <v>19</v>
      </c>
      <c r="C48" s="70">
        <v>0.04</v>
      </c>
      <c r="D48" s="70">
        <v>0.04</v>
      </c>
      <c r="E48" s="70">
        <v>0.04</v>
      </c>
      <c r="F48" s="70">
        <v>0.04</v>
      </c>
      <c r="G48" s="70">
        <v>0.04</v>
      </c>
      <c r="H48" s="70">
        <v>0.04</v>
      </c>
      <c r="I48" s="70">
        <v>0.04</v>
      </c>
      <c r="J48" s="70">
        <v>0.04</v>
      </c>
      <c r="K48" s="70">
        <v>0.04</v>
      </c>
      <c r="L48" s="70">
        <v>0.04</v>
      </c>
      <c r="M48" s="70">
        <v>0.04</v>
      </c>
      <c r="N48" s="70">
        <v>0.04</v>
      </c>
      <c r="O48" s="64"/>
      <c r="P48" s="64"/>
      <c r="Q48" s="64"/>
      <c r="R48" s="64"/>
      <c r="S48" s="64"/>
      <c r="T48" s="64"/>
      <c r="U48" s="64"/>
      <c r="V48" s="64"/>
      <c r="W48" s="64"/>
    </row>
    <row r="49" spans="1:23" s="61" customFormat="1" ht="15" x14ac:dyDescent="0.25">
      <c r="A49" s="110" t="s">
        <v>5</v>
      </c>
      <c r="B49" s="309" t="s">
        <v>19</v>
      </c>
      <c r="C49" s="70">
        <v>0.01</v>
      </c>
      <c r="D49" s="70">
        <v>0.01</v>
      </c>
      <c r="E49" s="70">
        <v>0.01</v>
      </c>
      <c r="F49" s="70">
        <v>0.01</v>
      </c>
      <c r="G49" s="70">
        <v>0.01</v>
      </c>
      <c r="H49" s="70">
        <v>0.01</v>
      </c>
      <c r="I49" s="70">
        <v>0.01</v>
      </c>
      <c r="J49" s="70">
        <v>0.01</v>
      </c>
      <c r="K49" s="70">
        <v>0.01</v>
      </c>
      <c r="L49" s="70">
        <v>0.01</v>
      </c>
      <c r="M49" s="70">
        <v>0.01</v>
      </c>
      <c r="N49" s="70">
        <v>0.01</v>
      </c>
      <c r="O49" s="64"/>
      <c r="P49" s="64"/>
      <c r="Q49" s="64"/>
      <c r="R49" s="64"/>
      <c r="S49" s="64"/>
      <c r="T49" s="64"/>
      <c r="U49" s="64"/>
      <c r="V49" s="64"/>
      <c r="W49" s="64"/>
    </row>
    <row r="50" spans="1:23" s="61" customFormat="1" ht="15" x14ac:dyDescent="0.25">
      <c r="A50" s="110" t="s">
        <v>6</v>
      </c>
      <c r="B50" s="309" t="s">
        <v>19</v>
      </c>
      <c r="C50" s="70">
        <v>0.01</v>
      </c>
      <c r="D50" s="70">
        <v>0.01</v>
      </c>
      <c r="E50" s="70">
        <v>0.01</v>
      </c>
      <c r="F50" s="70">
        <v>0.01</v>
      </c>
      <c r="G50" s="70">
        <v>0.01</v>
      </c>
      <c r="H50" s="70">
        <v>0.01</v>
      </c>
      <c r="I50" s="70">
        <v>0.01</v>
      </c>
      <c r="J50" s="70">
        <v>0.01</v>
      </c>
      <c r="K50" s="70">
        <v>0.01</v>
      </c>
      <c r="L50" s="70">
        <v>0.01</v>
      </c>
      <c r="M50" s="70">
        <v>0.01</v>
      </c>
      <c r="N50" s="70">
        <v>0.01</v>
      </c>
      <c r="O50" s="64"/>
      <c r="P50" s="64"/>
      <c r="Q50" s="64"/>
      <c r="R50" s="64"/>
      <c r="S50" s="64"/>
      <c r="T50" s="64"/>
      <c r="U50" s="64"/>
      <c r="V50" s="64"/>
      <c r="W50" s="64"/>
    </row>
    <row r="51" spans="1:23" s="61" customFormat="1" ht="15" x14ac:dyDescent="0.25">
      <c r="A51" s="110" t="s">
        <v>12</v>
      </c>
      <c r="B51" s="309" t="s">
        <v>19</v>
      </c>
      <c r="C51" s="70">
        <v>5.5E-2</v>
      </c>
      <c r="D51" s="70">
        <v>5.5E-2</v>
      </c>
      <c r="E51" s="70">
        <v>5.5E-2</v>
      </c>
      <c r="F51" s="70">
        <v>5.5E-2</v>
      </c>
      <c r="G51" s="70">
        <v>5.5E-2</v>
      </c>
      <c r="H51" s="70">
        <v>5.5E-2</v>
      </c>
      <c r="I51" s="70">
        <v>5.5E-2</v>
      </c>
      <c r="J51" s="70">
        <v>5.5E-2</v>
      </c>
      <c r="K51" s="70">
        <v>5.5E-2</v>
      </c>
      <c r="L51" s="70">
        <v>5.5E-2</v>
      </c>
      <c r="M51" s="70">
        <v>5.5E-2</v>
      </c>
      <c r="N51" s="70">
        <v>5.5E-2</v>
      </c>
      <c r="O51" s="64"/>
      <c r="P51" s="64"/>
      <c r="Q51" s="64"/>
      <c r="R51" s="64"/>
      <c r="S51" s="64"/>
      <c r="T51" s="64"/>
      <c r="U51" s="64"/>
      <c r="V51" s="64"/>
      <c r="W51" s="64"/>
    </row>
    <row r="52" spans="1:23" s="61" customFormat="1" ht="15" x14ac:dyDescent="0.25">
      <c r="A52" s="110" t="s">
        <v>11</v>
      </c>
      <c r="B52" s="309" t="s">
        <v>19</v>
      </c>
      <c r="C52" s="70">
        <v>2.5000000000000001E-2</v>
      </c>
      <c r="D52" s="70">
        <v>2.5000000000000001E-2</v>
      </c>
      <c r="E52" s="70">
        <v>2.5000000000000001E-2</v>
      </c>
      <c r="F52" s="70">
        <v>2.5000000000000001E-2</v>
      </c>
      <c r="G52" s="70">
        <v>2.5000000000000001E-2</v>
      </c>
      <c r="H52" s="70">
        <v>2.5000000000000001E-2</v>
      </c>
      <c r="I52" s="70">
        <v>2.5000000000000001E-2</v>
      </c>
      <c r="J52" s="70">
        <v>2.5000000000000001E-2</v>
      </c>
      <c r="K52" s="70">
        <v>2.5000000000000001E-2</v>
      </c>
      <c r="L52" s="70">
        <v>2.5000000000000001E-2</v>
      </c>
      <c r="M52" s="70">
        <v>2.5000000000000001E-2</v>
      </c>
      <c r="N52" s="70">
        <v>2.5000000000000001E-2</v>
      </c>
      <c r="O52" s="64"/>
      <c r="P52" s="64"/>
      <c r="Q52" s="64"/>
      <c r="R52" s="64"/>
      <c r="S52" s="64"/>
      <c r="T52" s="64"/>
      <c r="U52" s="64"/>
      <c r="V52" s="64"/>
      <c r="W52" s="64"/>
    </row>
    <row r="53" spans="1:23" s="61" customFormat="1" ht="15" x14ac:dyDescent="0.25">
      <c r="A53" s="110" t="s">
        <v>7</v>
      </c>
      <c r="B53" s="309" t="s">
        <v>19</v>
      </c>
      <c r="C53" s="70">
        <v>0.08</v>
      </c>
      <c r="D53" s="70">
        <v>0.08</v>
      </c>
      <c r="E53" s="70">
        <v>0.08</v>
      </c>
      <c r="F53" s="70">
        <v>0.08</v>
      </c>
      <c r="G53" s="70">
        <v>0.08</v>
      </c>
      <c r="H53" s="70">
        <v>0.08</v>
      </c>
      <c r="I53" s="70">
        <v>0.08</v>
      </c>
      <c r="J53" s="70">
        <v>0.08</v>
      </c>
      <c r="K53" s="70">
        <v>0.08</v>
      </c>
      <c r="L53" s="70">
        <v>0.08</v>
      </c>
      <c r="M53" s="70">
        <v>0.08</v>
      </c>
      <c r="N53" s="70">
        <v>0.08</v>
      </c>
      <c r="O53" s="64"/>
      <c r="P53" s="64"/>
      <c r="Q53" s="64"/>
      <c r="R53" s="64"/>
      <c r="S53" s="64"/>
      <c r="T53" s="64"/>
      <c r="U53" s="64"/>
      <c r="V53" s="64"/>
      <c r="W53" s="64"/>
    </row>
    <row r="54" spans="1:23" s="61" customFormat="1" ht="15" x14ac:dyDescent="0.25">
      <c r="A54" s="110" t="s">
        <v>8</v>
      </c>
      <c r="B54" s="309" t="s">
        <v>19</v>
      </c>
      <c r="C54" s="70">
        <v>2.5000000000000001E-2</v>
      </c>
      <c r="D54" s="70">
        <v>2.5000000000000001E-2</v>
      </c>
      <c r="E54" s="70">
        <v>2.5000000000000001E-2</v>
      </c>
      <c r="F54" s="70">
        <v>2.5000000000000001E-2</v>
      </c>
      <c r="G54" s="70">
        <v>2.5000000000000001E-2</v>
      </c>
      <c r="H54" s="70">
        <v>2.5000000000000001E-2</v>
      </c>
      <c r="I54" s="70">
        <v>2.5000000000000001E-2</v>
      </c>
      <c r="J54" s="70">
        <v>2.5000000000000001E-2</v>
      </c>
      <c r="K54" s="70">
        <v>2.5000000000000001E-2</v>
      </c>
      <c r="L54" s="70">
        <v>2.5000000000000001E-2</v>
      </c>
      <c r="M54" s="70">
        <v>2.5000000000000001E-2</v>
      </c>
      <c r="N54" s="70">
        <v>2.5000000000000001E-2</v>
      </c>
      <c r="O54" s="64"/>
      <c r="P54" s="64"/>
      <c r="Q54" s="64"/>
      <c r="R54" s="64"/>
      <c r="S54" s="64"/>
      <c r="T54" s="64"/>
      <c r="U54" s="64"/>
      <c r="V54" s="64"/>
      <c r="W54" s="64"/>
    </row>
    <row r="55" spans="1:23" s="61" customFormat="1" ht="15" x14ac:dyDescent="0.25">
      <c r="A55" s="110" t="s">
        <v>9</v>
      </c>
      <c r="B55" s="309" t="s">
        <v>19</v>
      </c>
      <c r="C55" s="70">
        <v>0.13</v>
      </c>
      <c r="D55" s="70">
        <v>0.13</v>
      </c>
      <c r="E55" s="70">
        <v>0.13</v>
      </c>
      <c r="F55" s="70">
        <v>0.13</v>
      </c>
      <c r="G55" s="70">
        <v>0.13</v>
      </c>
      <c r="H55" s="70">
        <v>0.13</v>
      </c>
      <c r="I55" s="70">
        <v>0.13</v>
      </c>
      <c r="J55" s="70">
        <v>0.13</v>
      </c>
      <c r="K55" s="70">
        <v>0.13</v>
      </c>
      <c r="L55" s="70">
        <v>0.13</v>
      </c>
      <c r="M55" s="70">
        <v>0.13</v>
      </c>
      <c r="N55" s="70">
        <v>0.13</v>
      </c>
      <c r="O55" s="64"/>
      <c r="P55" s="64"/>
      <c r="Q55" s="64"/>
      <c r="R55" s="64"/>
      <c r="S55" s="64"/>
      <c r="T55" s="64"/>
      <c r="U55" s="64"/>
      <c r="V55" s="64"/>
      <c r="W55" s="64"/>
    </row>
    <row r="56" spans="1:23" s="61" customFormat="1" ht="15" x14ac:dyDescent="0.25">
      <c r="A56" s="110" t="s">
        <v>10</v>
      </c>
      <c r="B56" s="309" t="s">
        <v>19</v>
      </c>
      <c r="C56" s="70">
        <v>5.0000000000000001E-3</v>
      </c>
      <c r="D56" s="70">
        <v>5.0000000000000001E-3</v>
      </c>
      <c r="E56" s="70">
        <v>5.0000000000000001E-3</v>
      </c>
      <c r="F56" s="70">
        <v>5.0000000000000001E-3</v>
      </c>
      <c r="G56" s="70">
        <v>5.0000000000000001E-3</v>
      </c>
      <c r="H56" s="70">
        <v>5.0000000000000001E-3</v>
      </c>
      <c r="I56" s="70">
        <v>5.0000000000000001E-3</v>
      </c>
      <c r="J56" s="70">
        <v>5.0000000000000001E-3</v>
      </c>
      <c r="K56" s="70">
        <v>5.0000000000000001E-3</v>
      </c>
      <c r="L56" s="70">
        <v>5.0000000000000001E-3</v>
      </c>
      <c r="M56" s="70">
        <v>5.0000000000000001E-3</v>
      </c>
      <c r="N56" s="70">
        <v>5.0000000000000001E-3</v>
      </c>
      <c r="O56" s="64"/>
      <c r="P56" s="64"/>
      <c r="Q56" s="64"/>
      <c r="R56" s="64"/>
      <c r="S56" s="64"/>
      <c r="T56" s="64"/>
      <c r="U56" s="64"/>
      <c r="V56" s="64"/>
      <c r="W56" s="64"/>
    </row>
    <row r="57" spans="1:23" s="55" customFormat="1" ht="15" x14ac:dyDescent="0.25">
      <c r="A57" s="111"/>
      <c r="B57" s="310"/>
      <c r="C57" s="101">
        <f t="shared" ref="C57:N57" si="5">SUM(C44:C56)</f>
        <v>1</v>
      </c>
      <c r="D57" s="101">
        <f t="shared" si="5"/>
        <v>1</v>
      </c>
      <c r="E57" s="101">
        <f t="shared" si="5"/>
        <v>1</v>
      </c>
      <c r="F57" s="101">
        <f t="shared" si="5"/>
        <v>1</v>
      </c>
      <c r="G57" s="101">
        <f t="shared" si="5"/>
        <v>1</v>
      </c>
      <c r="H57" s="101">
        <f t="shared" si="5"/>
        <v>1</v>
      </c>
      <c r="I57" s="101">
        <f t="shared" si="5"/>
        <v>1</v>
      </c>
      <c r="J57" s="101">
        <f t="shared" si="5"/>
        <v>1</v>
      </c>
      <c r="K57" s="101">
        <f t="shared" si="5"/>
        <v>1</v>
      </c>
      <c r="L57" s="101">
        <f t="shared" si="5"/>
        <v>1</v>
      </c>
      <c r="M57" s="101">
        <f t="shared" si="5"/>
        <v>1</v>
      </c>
      <c r="N57" s="101">
        <f t="shared" si="5"/>
        <v>1</v>
      </c>
    </row>
    <row r="58" spans="1:23" s="55" customFormat="1" ht="18.75" x14ac:dyDescent="0.3">
      <c r="A58" s="103" t="s">
        <v>260</v>
      </c>
      <c r="B58" s="310"/>
      <c r="C58" s="77"/>
      <c r="D58" s="77"/>
      <c r="E58" s="77"/>
      <c r="F58" s="77"/>
      <c r="G58" s="77"/>
      <c r="H58" s="77"/>
      <c r="I58" s="77"/>
      <c r="J58" s="77"/>
      <c r="K58" s="77"/>
      <c r="L58" s="77"/>
      <c r="M58" s="77"/>
      <c r="N58" s="77"/>
    </row>
    <row r="59" spans="1:23" s="64" customFormat="1" ht="5.25" customHeight="1" x14ac:dyDescent="0.25">
      <c r="A59" s="111"/>
      <c r="B59" s="310"/>
      <c r="C59" s="77"/>
      <c r="D59" s="77"/>
      <c r="E59" s="77"/>
      <c r="F59" s="77"/>
      <c r="G59" s="77"/>
      <c r="H59" s="77"/>
      <c r="I59" s="77"/>
      <c r="J59" s="77"/>
      <c r="K59" s="77"/>
      <c r="L59" s="77"/>
      <c r="M59" s="77"/>
      <c r="N59" s="77"/>
    </row>
    <row r="60" spans="1:23" s="64" customFormat="1" ht="15" x14ac:dyDescent="0.25">
      <c r="A60" s="317" t="s">
        <v>188</v>
      </c>
      <c r="B60" s="310"/>
      <c r="C60" s="77"/>
      <c r="D60" s="77"/>
      <c r="E60" s="77"/>
      <c r="F60" s="77"/>
      <c r="G60" s="77"/>
      <c r="H60" s="77"/>
      <c r="I60" s="77"/>
      <c r="J60" s="77"/>
      <c r="K60" s="77"/>
      <c r="L60" s="77"/>
      <c r="M60" s="77"/>
      <c r="N60" s="77"/>
      <c r="O60" s="71"/>
    </row>
    <row r="61" spans="1:23" s="64" customFormat="1" ht="15" x14ac:dyDescent="0.25">
      <c r="A61" s="110" t="s">
        <v>0</v>
      </c>
      <c r="B61" s="310" t="s">
        <v>19</v>
      </c>
      <c r="C61" s="102">
        <v>0.4</v>
      </c>
      <c r="D61" s="102">
        <v>0.4</v>
      </c>
      <c r="E61" s="102">
        <v>0.4</v>
      </c>
      <c r="F61" s="102">
        <v>0.4</v>
      </c>
      <c r="G61" s="102">
        <v>0.4</v>
      </c>
      <c r="H61" s="102">
        <v>0.4</v>
      </c>
      <c r="I61" s="102">
        <v>0.4</v>
      </c>
      <c r="J61" s="102">
        <v>0.4</v>
      </c>
      <c r="K61" s="102">
        <v>0.4</v>
      </c>
      <c r="L61" s="102">
        <v>0.4</v>
      </c>
      <c r="M61" s="102">
        <v>0.4</v>
      </c>
      <c r="N61" s="102">
        <v>0.4</v>
      </c>
      <c r="O61" s="71"/>
    </row>
    <row r="62" spans="1:23" s="64" customFormat="1" ht="15" x14ac:dyDescent="0.25">
      <c r="A62" s="110" t="s">
        <v>1</v>
      </c>
      <c r="B62" s="310" t="s">
        <v>19</v>
      </c>
      <c r="C62" s="102">
        <v>0.7</v>
      </c>
      <c r="D62" s="102">
        <v>0.7</v>
      </c>
      <c r="E62" s="102">
        <v>0.7</v>
      </c>
      <c r="F62" s="102">
        <v>0.7</v>
      </c>
      <c r="G62" s="102">
        <v>0.7</v>
      </c>
      <c r="H62" s="102">
        <v>0.7</v>
      </c>
      <c r="I62" s="102">
        <v>0.7</v>
      </c>
      <c r="J62" s="102">
        <v>0.7</v>
      </c>
      <c r="K62" s="102">
        <v>0.7</v>
      </c>
      <c r="L62" s="102">
        <v>0.7</v>
      </c>
      <c r="M62" s="102">
        <v>0.7</v>
      </c>
      <c r="N62" s="102">
        <v>0.7</v>
      </c>
      <c r="O62" s="71"/>
    </row>
    <row r="63" spans="1:23" s="64" customFormat="1" ht="15" x14ac:dyDescent="0.25">
      <c r="A63" s="110" t="s">
        <v>2</v>
      </c>
      <c r="B63" s="310" t="s">
        <v>19</v>
      </c>
      <c r="C63" s="102">
        <v>0.8</v>
      </c>
      <c r="D63" s="102">
        <v>0.8</v>
      </c>
      <c r="E63" s="102">
        <v>0.8</v>
      </c>
      <c r="F63" s="102">
        <v>0.8</v>
      </c>
      <c r="G63" s="102">
        <v>0.8</v>
      </c>
      <c r="H63" s="102">
        <v>0.8</v>
      </c>
      <c r="I63" s="102">
        <v>0.8</v>
      </c>
      <c r="J63" s="102">
        <v>0.8</v>
      </c>
      <c r="K63" s="102">
        <v>0.8</v>
      </c>
      <c r="L63" s="102">
        <v>0.8</v>
      </c>
      <c r="M63" s="102">
        <v>0.8</v>
      </c>
      <c r="N63" s="102">
        <v>0.8</v>
      </c>
      <c r="O63" s="71"/>
    </row>
    <row r="64" spans="1:23" s="64" customFormat="1" ht="15" x14ac:dyDescent="0.25">
      <c r="A64" s="110" t="s">
        <v>3</v>
      </c>
      <c r="B64" s="310" t="s">
        <v>19</v>
      </c>
      <c r="C64" s="102">
        <v>0.5</v>
      </c>
      <c r="D64" s="102">
        <v>0.5</v>
      </c>
      <c r="E64" s="102">
        <v>0.5</v>
      </c>
      <c r="F64" s="102">
        <v>0.5</v>
      </c>
      <c r="G64" s="102">
        <v>0.5</v>
      </c>
      <c r="H64" s="102">
        <v>0.5</v>
      </c>
      <c r="I64" s="102">
        <v>0.5</v>
      </c>
      <c r="J64" s="102">
        <v>0.5</v>
      </c>
      <c r="K64" s="102">
        <v>0.5</v>
      </c>
      <c r="L64" s="102">
        <v>0.5</v>
      </c>
      <c r="M64" s="102">
        <v>0.5</v>
      </c>
      <c r="N64" s="102">
        <v>0.5</v>
      </c>
      <c r="O64" s="71"/>
    </row>
    <row r="65" spans="1:15" s="64" customFormat="1" ht="15" x14ac:dyDescent="0.25">
      <c r="A65" s="110" t="s">
        <v>12</v>
      </c>
      <c r="B65" s="310" t="s">
        <v>19</v>
      </c>
      <c r="C65" s="102">
        <v>0.8</v>
      </c>
      <c r="D65" s="102">
        <v>0.8</v>
      </c>
      <c r="E65" s="102">
        <v>0.8</v>
      </c>
      <c r="F65" s="102">
        <v>0.8</v>
      </c>
      <c r="G65" s="102">
        <v>0.8</v>
      </c>
      <c r="H65" s="102">
        <v>0.8</v>
      </c>
      <c r="I65" s="102">
        <v>0.8</v>
      </c>
      <c r="J65" s="102">
        <v>0.8</v>
      </c>
      <c r="K65" s="102">
        <v>0.8</v>
      </c>
      <c r="L65" s="102">
        <v>0.8</v>
      </c>
      <c r="M65" s="102">
        <v>0.8</v>
      </c>
      <c r="N65" s="102">
        <v>0.8</v>
      </c>
      <c r="O65" s="71"/>
    </row>
    <row r="66" spans="1:15" s="64" customFormat="1" ht="15" x14ac:dyDescent="0.25">
      <c r="A66" s="110" t="s">
        <v>7</v>
      </c>
      <c r="B66" s="310" t="s">
        <v>19</v>
      </c>
      <c r="C66" s="102">
        <v>0.75</v>
      </c>
      <c r="D66" s="102">
        <v>0.75</v>
      </c>
      <c r="E66" s="102">
        <v>0.75</v>
      </c>
      <c r="F66" s="102">
        <v>0.75</v>
      </c>
      <c r="G66" s="102">
        <v>0.75</v>
      </c>
      <c r="H66" s="102">
        <v>0.75</v>
      </c>
      <c r="I66" s="102">
        <v>0.75</v>
      </c>
      <c r="J66" s="102">
        <v>0.75</v>
      </c>
      <c r="K66" s="102">
        <v>0.75</v>
      </c>
      <c r="L66" s="102">
        <v>0.75</v>
      </c>
      <c r="M66" s="102">
        <v>0.75</v>
      </c>
      <c r="N66" s="102">
        <v>0.75</v>
      </c>
      <c r="O66" s="71"/>
    </row>
    <row r="67" spans="1:15" s="64" customFormat="1" ht="15" x14ac:dyDescent="0.25">
      <c r="A67" s="110" t="s">
        <v>8</v>
      </c>
      <c r="B67" s="310" t="s">
        <v>19</v>
      </c>
      <c r="C67" s="102">
        <v>0.75</v>
      </c>
      <c r="D67" s="102">
        <v>0.75</v>
      </c>
      <c r="E67" s="102">
        <v>0.75</v>
      </c>
      <c r="F67" s="102">
        <v>0.75</v>
      </c>
      <c r="G67" s="102">
        <v>0.75</v>
      </c>
      <c r="H67" s="102">
        <v>0.75</v>
      </c>
      <c r="I67" s="102">
        <v>0.75</v>
      </c>
      <c r="J67" s="102">
        <v>0.75</v>
      </c>
      <c r="K67" s="102">
        <v>0.75</v>
      </c>
      <c r="L67" s="102">
        <v>0.75</v>
      </c>
      <c r="M67" s="102">
        <v>0.75</v>
      </c>
      <c r="N67" s="102">
        <v>0.75</v>
      </c>
      <c r="O67" s="71"/>
    </row>
    <row r="68" spans="1:15" s="55" customFormat="1" ht="9" customHeight="1" x14ac:dyDescent="0.25">
      <c r="A68" s="111"/>
      <c r="B68" s="310"/>
      <c r="C68" s="101"/>
      <c r="D68" s="101"/>
      <c r="E68" s="101"/>
      <c r="F68" s="101"/>
      <c r="G68" s="101"/>
      <c r="H68" s="101"/>
      <c r="I68" s="101"/>
      <c r="J68" s="101"/>
      <c r="K68" s="101"/>
      <c r="L68" s="101"/>
      <c r="M68" s="101"/>
      <c r="N68" s="101"/>
    </row>
    <row r="69" spans="1:15" s="55" customFormat="1" ht="15" x14ac:dyDescent="0.25">
      <c r="A69" s="317" t="s">
        <v>189</v>
      </c>
      <c r="B69" s="310"/>
      <c r="C69" s="101"/>
      <c r="D69" s="101"/>
      <c r="E69" s="101"/>
      <c r="F69" s="101"/>
      <c r="G69" s="101"/>
      <c r="H69" s="101"/>
      <c r="I69" s="101"/>
      <c r="J69" s="101"/>
      <c r="K69" s="101"/>
      <c r="L69" s="101"/>
      <c r="M69" s="101"/>
      <c r="N69" s="101"/>
    </row>
    <row r="70" spans="1:15" s="55" customFormat="1" ht="15" x14ac:dyDescent="0.25">
      <c r="A70" s="110" t="s">
        <v>1</v>
      </c>
      <c r="B70" s="310" t="s">
        <v>19</v>
      </c>
      <c r="C70" s="102">
        <v>0.7</v>
      </c>
      <c r="D70" s="102">
        <v>0.7</v>
      </c>
      <c r="E70" s="102">
        <v>0.7</v>
      </c>
      <c r="F70" s="102">
        <v>0.7</v>
      </c>
      <c r="G70" s="102">
        <v>0.7</v>
      </c>
      <c r="H70" s="102">
        <v>0.7</v>
      </c>
      <c r="I70" s="102">
        <v>0.7</v>
      </c>
      <c r="J70" s="102">
        <v>0.7</v>
      </c>
      <c r="K70" s="102">
        <v>0.7</v>
      </c>
      <c r="L70" s="102">
        <v>0.7</v>
      </c>
      <c r="M70" s="102">
        <v>0.7</v>
      </c>
      <c r="N70" s="102">
        <v>0.7</v>
      </c>
    </row>
    <row r="71" spans="1:15" s="55" customFormat="1" ht="15" x14ac:dyDescent="0.25">
      <c r="A71" s="110" t="s">
        <v>2</v>
      </c>
      <c r="B71" s="310" t="s">
        <v>19</v>
      </c>
      <c r="C71" s="102">
        <v>0.8</v>
      </c>
      <c r="D71" s="102">
        <v>0.8</v>
      </c>
      <c r="E71" s="102">
        <v>0.8</v>
      </c>
      <c r="F71" s="102">
        <v>0.8</v>
      </c>
      <c r="G71" s="102">
        <v>0.8</v>
      </c>
      <c r="H71" s="102">
        <v>0.8</v>
      </c>
      <c r="I71" s="102">
        <v>0.8</v>
      </c>
      <c r="J71" s="102">
        <v>0.8</v>
      </c>
      <c r="K71" s="102">
        <v>0.8</v>
      </c>
      <c r="L71" s="102">
        <v>0.8</v>
      </c>
      <c r="M71" s="102">
        <v>0.8</v>
      </c>
      <c r="N71" s="102">
        <v>0.8</v>
      </c>
    </row>
    <row r="72" spans="1:15" s="55" customFormat="1" ht="15" x14ac:dyDescent="0.25">
      <c r="A72" s="110" t="s">
        <v>3</v>
      </c>
      <c r="B72" s="310" t="s">
        <v>19</v>
      </c>
      <c r="C72" s="102">
        <v>0.6</v>
      </c>
      <c r="D72" s="102">
        <v>0.6</v>
      </c>
      <c r="E72" s="102">
        <v>0.6</v>
      </c>
      <c r="F72" s="102">
        <v>0.6</v>
      </c>
      <c r="G72" s="102">
        <v>0.6</v>
      </c>
      <c r="H72" s="102">
        <v>0.6</v>
      </c>
      <c r="I72" s="102">
        <v>0.6</v>
      </c>
      <c r="J72" s="102">
        <v>0.6</v>
      </c>
      <c r="K72" s="102">
        <v>0.6</v>
      </c>
      <c r="L72" s="102">
        <v>0.6</v>
      </c>
      <c r="M72" s="102">
        <v>0.6</v>
      </c>
      <c r="N72" s="102">
        <v>0.6</v>
      </c>
    </row>
    <row r="73" spans="1:15" s="55" customFormat="1" ht="15" x14ac:dyDescent="0.25">
      <c r="A73" s="110" t="s">
        <v>7</v>
      </c>
      <c r="B73" s="310" t="s">
        <v>19</v>
      </c>
      <c r="C73" s="102">
        <v>0.8</v>
      </c>
      <c r="D73" s="102">
        <v>0.8</v>
      </c>
      <c r="E73" s="102">
        <v>0.8</v>
      </c>
      <c r="F73" s="102">
        <v>0.8</v>
      </c>
      <c r="G73" s="102">
        <v>0.8</v>
      </c>
      <c r="H73" s="102">
        <v>0.8</v>
      </c>
      <c r="I73" s="102">
        <v>0.8</v>
      </c>
      <c r="J73" s="102">
        <v>0.8</v>
      </c>
      <c r="K73" s="102">
        <v>0.8</v>
      </c>
      <c r="L73" s="102">
        <v>0.8</v>
      </c>
      <c r="M73" s="102">
        <v>0.8</v>
      </c>
      <c r="N73" s="102">
        <v>0.8</v>
      </c>
    </row>
    <row r="74" spans="1:15" s="55" customFormat="1" ht="15" x14ac:dyDescent="0.25">
      <c r="A74" s="110" t="s">
        <v>8</v>
      </c>
      <c r="B74" s="310" t="s">
        <v>19</v>
      </c>
      <c r="C74" s="102">
        <v>0.8</v>
      </c>
      <c r="D74" s="102">
        <v>0.8</v>
      </c>
      <c r="E74" s="102">
        <v>0.8</v>
      </c>
      <c r="F74" s="102">
        <v>0.8</v>
      </c>
      <c r="G74" s="102">
        <v>0.8</v>
      </c>
      <c r="H74" s="102">
        <v>0.8</v>
      </c>
      <c r="I74" s="102">
        <v>0.8</v>
      </c>
      <c r="J74" s="102">
        <v>0.8</v>
      </c>
      <c r="K74" s="102">
        <v>0.8</v>
      </c>
      <c r="L74" s="102">
        <v>0.8</v>
      </c>
      <c r="M74" s="102">
        <v>0.8</v>
      </c>
      <c r="N74" s="102">
        <v>0.8</v>
      </c>
    </row>
    <row r="75" spans="1:15" s="55" customFormat="1" ht="15" x14ac:dyDescent="0.25">
      <c r="A75" s="110" t="s">
        <v>12</v>
      </c>
      <c r="B75" s="310"/>
      <c r="C75" s="101">
        <v>0</v>
      </c>
      <c r="D75" s="101">
        <v>0</v>
      </c>
      <c r="E75" s="101">
        <v>0</v>
      </c>
      <c r="F75" s="101">
        <v>0</v>
      </c>
      <c r="G75" s="101">
        <v>0</v>
      </c>
      <c r="H75" s="101">
        <v>0</v>
      </c>
      <c r="I75" s="101">
        <v>0</v>
      </c>
      <c r="J75" s="101">
        <v>0</v>
      </c>
      <c r="K75" s="101">
        <v>0</v>
      </c>
      <c r="L75" s="101">
        <v>0</v>
      </c>
      <c r="M75" s="101">
        <v>0</v>
      </c>
      <c r="N75" s="101">
        <v>0</v>
      </c>
    </row>
    <row r="76" spans="1:15" s="55" customFormat="1" ht="15" x14ac:dyDescent="0.25">
      <c r="A76" s="111"/>
      <c r="B76" s="310"/>
      <c r="C76" s="101"/>
      <c r="D76" s="101"/>
      <c r="E76" s="101"/>
      <c r="F76" s="101"/>
      <c r="G76" s="101"/>
      <c r="H76" s="101"/>
      <c r="I76" s="101"/>
      <c r="J76" s="101"/>
      <c r="K76" s="101"/>
      <c r="L76" s="101"/>
      <c r="M76" s="101"/>
      <c r="N76" s="101"/>
    </row>
    <row r="77" spans="1:15" s="55" customFormat="1" ht="15" x14ac:dyDescent="0.25">
      <c r="A77" s="317" t="s">
        <v>187</v>
      </c>
      <c r="B77" s="310"/>
      <c r="C77" s="101"/>
      <c r="D77" s="101"/>
      <c r="E77" s="101"/>
      <c r="F77" s="101"/>
      <c r="G77" s="101"/>
      <c r="H77" s="101"/>
      <c r="I77" s="101"/>
      <c r="J77" s="101"/>
      <c r="K77" s="101"/>
      <c r="L77" s="101"/>
      <c r="M77" s="101"/>
      <c r="N77" s="101"/>
    </row>
    <row r="78" spans="1:15" s="55" customFormat="1" ht="15" x14ac:dyDescent="0.25">
      <c r="A78" s="110" t="s">
        <v>1</v>
      </c>
      <c r="B78" s="310" t="s">
        <v>19</v>
      </c>
      <c r="C78" s="102">
        <v>0.4</v>
      </c>
      <c r="D78" s="101"/>
      <c r="E78" s="101"/>
      <c r="F78" s="101"/>
      <c r="G78" s="101"/>
      <c r="H78" s="101"/>
      <c r="I78" s="101"/>
      <c r="J78" s="101"/>
      <c r="K78" s="101"/>
      <c r="L78" s="101"/>
      <c r="M78" s="101"/>
      <c r="N78" s="101"/>
    </row>
    <row r="79" spans="1:15" s="55" customFormat="1" ht="15" x14ac:dyDescent="0.25">
      <c r="A79" s="110" t="s">
        <v>2</v>
      </c>
      <c r="B79" s="310" t="s">
        <v>19</v>
      </c>
      <c r="C79" s="102">
        <v>0.95</v>
      </c>
      <c r="D79" s="101"/>
      <c r="E79" s="101"/>
      <c r="F79" s="101"/>
      <c r="G79" s="101"/>
      <c r="H79" s="101"/>
      <c r="I79" s="101"/>
      <c r="J79" s="101"/>
      <c r="K79" s="101"/>
      <c r="L79" s="101"/>
      <c r="M79" s="101"/>
      <c r="N79" s="101"/>
    </row>
    <row r="80" spans="1:15" s="55" customFormat="1" ht="15" x14ac:dyDescent="0.25">
      <c r="A80" s="110" t="s">
        <v>3</v>
      </c>
      <c r="B80" s="310" t="s">
        <v>19</v>
      </c>
      <c r="C80" s="102">
        <v>0.95</v>
      </c>
      <c r="D80" s="101"/>
      <c r="E80" s="101"/>
      <c r="F80" s="101"/>
      <c r="G80" s="101"/>
      <c r="H80" s="101"/>
      <c r="I80" s="101"/>
      <c r="J80" s="101"/>
      <c r="K80" s="101"/>
      <c r="L80" s="101"/>
      <c r="M80" s="101"/>
      <c r="N80" s="101"/>
    </row>
    <row r="81" spans="1:23" s="55" customFormat="1" ht="15" x14ac:dyDescent="0.25">
      <c r="A81" s="110" t="s">
        <v>7</v>
      </c>
      <c r="B81" s="310" t="s">
        <v>19</v>
      </c>
      <c r="C81" s="102">
        <v>1</v>
      </c>
      <c r="D81" s="101"/>
      <c r="E81" s="101"/>
      <c r="F81" s="101"/>
      <c r="G81" s="101"/>
      <c r="H81" s="101"/>
      <c r="I81" s="101"/>
      <c r="J81" s="101"/>
      <c r="K81" s="101"/>
      <c r="L81" s="101"/>
      <c r="M81" s="101"/>
      <c r="N81" s="101"/>
    </row>
    <row r="82" spans="1:23" s="55" customFormat="1" ht="15" x14ac:dyDescent="0.25">
      <c r="A82" s="110" t="s">
        <v>8</v>
      </c>
      <c r="B82" s="310" t="s">
        <v>19</v>
      </c>
      <c r="C82" s="102">
        <v>0.9</v>
      </c>
      <c r="D82" s="101"/>
      <c r="E82" s="101"/>
      <c r="F82" s="101"/>
      <c r="G82" s="101"/>
      <c r="H82" s="101"/>
      <c r="I82" s="101"/>
      <c r="J82" s="101"/>
      <c r="K82" s="101"/>
      <c r="L82" s="101"/>
      <c r="M82" s="101"/>
      <c r="N82" s="101"/>
    </row>
    <row r="83" spans="1:23" s="55" customFormat="1" ht="15" x14ac:dyDescent="0.25">
      <c r="A83" s="111"/>
      <c r="B83" s="310"/>
      <c r="C83" s="101"/>
      <c r="D83" s="101"/>
      <c r="E83" s="101"/>
      <c r="F83" s="101"/>
      <c r="G83" s="101"/>
      <c r="H83" s="101"/>
      <c r="I83" s="101"/>
      <c r="J83" s="101"/>
      <c r="K83" s="101"/>
      <c r="L83" s="101"/>
      <c r="M83" s="101"/>
      <c r="N83" s="101"/>
    </row>
    <row r="84" spans="1:23" s="55" customFormat="1" ht="15" x14ac:dyDescent="0.25">
      <c r="A84" s="317" t="s">
        <v>190</v>
      </c>
      <c r="B84" s="310"/>
      <c r="C84" s="101"/>
      <c r="D84" s="101"/>
      <c r="E84" s="101"/>
      <c r="F84" s="101"/>
      <c r="G84" s="101"/>
      <c r="H84" s="101"/>
      <c r="I84" s="101"/>
      <c r="J84" s="101"/>
      <c r="K84" s="101"/>
      <c r="L84" s="101"/>
      <c r="M84" s="101"/>
      <c r="N84" s="101"/>
    </row>
    <row r="85" spans="1:23" s="64" customFormat="1" ht="15" x14ac:dyDescent="0.25">
      <c r="A85" s="110" t="s">
        <v>124</v>
      </c>
      <c r="B85" s="310" t="s">
        <v>19</v>
      </c>
      <c r="C85" s="102">
        <v>0.35</v>
      </c>
      <c r="D85" s="102">
        <v>0.35</v>
      </c>
      <c r="E85" s="102">
        <v>0.35</v>
      </c>
      <c r="F85" s="102">
        <v>0.35</v>
      </c>
      <c r="G85" s="102">
        <v>0.35</v>
      </c>
      <c r="H85" s="102">
        <v>0.35</v>
      </c>
      <c r="I85" s="102">
        <v>0.35</v>
      </c>
      <c r="J85" s="102">
        <v>0.35</v>
      </c>
      <c r="K85" s="102">
        <v>0.35</v>
      </c>
      <c r="L85" s="102">
        <v>0.35</v>
      </c>
      <c r="M85" s="102">
        <v>0.35</v>
      </c>
      <c r="N85" s="102">
        <v>0.35</v>
      </c>
      <c r="O85" s="71"/>
    </row>
    <row r="86" spans="1:23" s="64" customFormat="1" ht="15" x14ac:dyDescent="0.25">
      <c r="A86" s="110" t="s">
        <v>123</v>
      </c>
      <c r="B86" s="310" t="s">
        <v>19</v>
      </c>
      <c r="C86" s="102">
        <v>0.2</v>
      </c>
      <c r="D86" s="102">
        <v>0.2</v>
      </c>
      <c r="E86" s="102">
        <v>0.2</v>
      </c>
      <c r="F86" s="102">
        <v>0.2</v>
      </c>
      <c r="G86" s="102">
        <v>0.2</v>
      </c>
      <c r="H86" s="102">
        <v>0.2</v>
      </c>
      <c r="I86" s="102">
        <v>0.2</v>
      </c>
      <c r="J86" s="102">
        <v>0.2</v>
      </c>
      <c r="K86" s="102">
        <v>0.2</v>
      </c>
      <c r="L86" s="102">
        <v>0.2</v>
      </c>
      <c r="M86" s="102">
        <v>0.2</v>
      </c>
      <c r="N86" s="102">
        <v>0.2</v>
      </c>
      <c r="O86" s="71"/>
    </row>
    <row r="87" spans="1:23" s="64" customFormat="1" ht="15" x14ac:dyDescent="0.25">
      <c r="A87" s="110" t="s">
        <v>119</v>
      </c>
      <c r="B87" s="310" t="s">
        <v>19</v>
      </c>
      <c r="C87" s="102">
        <v>0.05</v>
      </c>
      <c r="D87" s="102">
        <v>0.05</v>
      </c>
      <c r="E87" s="102">
        <v>0.05</v>
      </c>
      <c r="F87" s="102">
        <v>0.05</v>
      </c>
      <c r="G87" s="102">
        <v>0.05</v>
      </c>
      <c r="H87" s="102">
        <v>0.05</v>
      </c>
      <c r="I87" s="102">
        <v>0.05</v>
      </c>
      <c r="J87" s="102">
        <v>0.05</v>
      </c>
      <c r="K87" s="102">
        <v>0.05</v>
      </c>
      <c r="L87" s="102">
        <v>0.05</v>
      </c>
      <c r="M87" s="102">
        <v>0.05</v>
      </c>
      <c r="N87" s="102">
        <v>0.05</v>
      </c>
      <c r="O87" s="71"/>
    </row>
    <row r="88" spans="1:23" s="55" customFormat="1" ht="15" x14ac:dyDescent="0.25">
      <c r="A88" s="77"/>
      <c r="B88" s="310"/>
      <c r="C88" s="77"/>
      <c r="D88" s="77"/>
      <c r="E88" s="77"/>
      <c r="F88" s="77"/>
      <c r="G88" s="77"/>
      <c r="H88" s="77"/>
      <c r="I88" s="77"/>
      <c r="J88" s="77"/>
      <c r="K88" s="77"/>
      <c r="L88" s="77"/>
      <c r="M88" s="77"/>
      <c r="N88" s="77"/>
    </row>
    <row r="89" spans="1:23" s="55" customFormat="1" ht="15" x14ac:dyDescent="0.25">
      <c r="B89" s="290"/>
    </row>
    <row r="90" spans="1:23" s="61" customFormat="1" ht="23.25" x14ac:dyDescent="0.35">
      <c r="A90" s="168" t="str">
        <f>'Изходни данни'!A6</f>
        <v>големи населени места (повече от 3000 жители)</v>
      </c>
      <c r="B90" s="311"/>
      <c r="C90" s="169"/>
      <c r="D90" s="170"/>
      <c r="E90" s="169"/>
      <c r="F90" s="169"/>
      <c r="G90" s="169"/>
      <c r="H90" s="169"/>
      <c r="I90" s="169"/>
      <c r="J90" s="169"/>
      <c r="K90" s="169"/>
      <c r="L90" s="169"/>
      <c r="M90" s="169"/>
      <c r="N90" s="169"/>
    </row>
    <row r="91" spans="1:23" s="55" customFormat="1" ht="15" x14ac:dyDescent="0.25">
      <c r="A91" s="175"/>
      <c r="B91" s="312"/>
      <c r="C91" s="175"/>
      <c r="D91" s="175"/>
      <c r="E91" s="175"/>
      <c r="F91" s="175"/>
      <c r="G91" s="175"/>
      <c r="H91" s="175"/>
      <c r="I91" s="175"/>
      <c r="J91" s="175"/>
      <c r="K91" s="175"/>
      <c r="L91" s="175"/>
      <c r="M91" s="175"/>
      <c r="N91" s="175"/>
    </row>
    <row r="92" spans="1:23" s="61" customFormat="1" ht="15" x14ac:dyDescent="0.25">
      <c r="A92" s="176" t="str">
        <f>A23</f>
        <v>Общо образувани отпадъци, домакинства</v>
      </c>
      <c r="B92" s="313" t="s">
        <v>185</v>
      </c>
      <c r="C92" s="105">
        <v>8750</v>
      </c>
      <c r="D92" s="105">
        <v>8750</v>
      </c>
      <c r="E92" s="105">
        <v>8750</v>
      </c>
      <c r="F92" s="105">
        <v>8750</v>
      </c>
      <c r="G92" s="105">
        <v>8750</v>
      </c>
      <c r="H92" s="105">
        <v>8750</v>
      </c>
      <c r="I92" s="105">
        <v>8750</v>
      </c>
      <c r="J92" s="105">
        <v>8750</v>
      </c>
      <c r="K92" s="105">
        <v>8750</v>
      </c>
      <c r="L92" s="105">
        <v>8750</v>
      </c>
      <c r="M92" s="105">
        <v>8750</v>
      </c>
      <c r="N92" s="105">
        <v>8750</v>
      </c>
    </row>
    <row r="93" spans="1:23" s="61" customFormat="1" ht="6.75" customHeight="1" x14ac:dyDescent="0.25">
      <c r="A93" s="176"/>
      <c r="B93" s="313"/>
      <c r="C93" s="105"/>
      <c r="D93" s="105"/>
      <c r="E93" s="105"/>
      <c r="F93" s="105"/>
      <c r="G93" s="105"/>
      <c r="H93" s="105"/>
      <c r="I93" s="105"/>
      <c r="J93" s="105"/>
      <c r="K93" s="105"/>
      <c r="L93" s="105"/>
      <c r="M93" s="105"/>
      <c r="N93" s="105"/>
    </row>
    <row r="94" spans="1:23" s="61" customFormat="1" ht="15" x14ac:dyDescent="0.25">
      <c r="A94" s="176" t="str">
        <f>A25</f>
        <v>Състав на образуваните отпадъци от домакинствата</v>
      </c>
      <c r="B94" s="314"/>
      <c r="C94" s="183"/>
      <c r="D94" s="183"/>
      <c r="E94" s="183"/>
      <c r="F94" s="183"/>
      <c r="G94" s="183"/>
      <c r="H94" s="183"/>
      <c r="I94" s="183"/>
      <c r="J94" s="183"/>
      <c r="K94" s="183"/>
      <c r="L94" s="183"/>
      <c r="M94" s="183"/>
      <c r="N94" s="183"/>
    </row>
    <row r="95" spans="1:23" s="61" customFormat="1" ht="15" x14ac:dyDescent="0.25">
      <c r="A95" s="178" t="s">
        <v>0</v>
      </c>
      <c r="B95" s="315" t="s">
        <v>19</v>
      </c>
      <c r="C95" s="106">
        <v>0.21</v>
      </c>
      <c r="D95" s="106">
        <v>0.21</v>
      </c>
      <c r="E95" s="106">
        <v>0.21</v>
      </c>
      <c r="F95" s="106">
        <v>0.21</v>
      </c>
      <c r="G95" s="106">
        <v>0.21</v>
      </c>
      <c r="H95" s="106">
        <v>0.21</v>
      </c>
      <c r="I95" s="106">
        <v>0.21</v>
      </c>
      <c r="J95" s="106">
        <v>0.21</v>
      </c>
      <c r="K95" s="106">
        <v>0.21</v>
      </c>
      <c r="L95" s="106">
        <v>0.21</v>
      </c>
      <c r="M95" s="106">
        <v>0.21</v>
      </c>
      <c r="N95" s="106">
        <v>0.21</v>
      </c>
      <c r="O95" s="64"/>
      <c r="P95" s="64"/>
      <c r="Q95" s="64"/>
      <c r="R95" s="64"/>
      <c r="S95" s="64"/>
      <c r="T95" s="64"/>
      <c r="U95" s="64"/>
      <c r="V95" s="64"/>
      <c r="W95" s="64"/>
    </row>
    <row r="96" spans="1:23" s="61" customFormat="1" ht="15" x14ac:dyDescent="0.25">
      <c r="A96" s="178" t="s">
        <v>1</v>
      </c>
      <c r="B96" s="315" t="s">
        <v>19</v>
      </c>
      <c r="C96" s="106">
        <v>0.13</v>
      </c>
      <c r="D96" s="106">
        <v>0.13</v>
      </c>
      <c r="E96" s="106">
        <v>0.13</v>
      </c>
      <c r="F96" s="106">
        <v>0.13</v>
      </c>
      <c r="G96" s="106">
        <v>0.13</v>
      </c>
      <c r="H96" s="106">
        <v>0.13</v>
      </c>
      <c r="I96" s="106">
        <v>0.13</v>
      </c>
      <c r="J96" s="106">
        <v>0.13</v>
      </c>
      <c r="K96" s="106">
        <v>0.13</v>
      </c>
      <c r="L96" s="106">
        <v>0.13</v>
      </c>
      <c r="M96" s="106">
        <v>0.13</v>
      </c>
      <c r="N96" s="106">
        <v>0.13</v>
      </c>
      <c r="O96" s="64"/>
      <c r="P96" s="64"/>
      <c r="Q96" s="64"/>
      <c r="R96" s="64"/>
      <c r="S96" s="64"/>
      <c r="T96" s="64"/>
      <c r="U96" s="64"/>
      <c r="V96" s="64"/>
      <c r="W96" s="64"/>
    </row>
    <row r="97" spans="1:23" s="61" customFormat="1" ht="15" x14ac:dyDescent="0.25">
      <c r="A97" s="178" t="s">
        <v>2</v>
      </c>
      <c r="B97" s="315" t="s">
        <v>19</v>
      </c>
      <c r="C97" s="106">
        <v>0.14000000000000001</v>
      </c>
      <c r="D97" s="106">
        <v>0.14000000000000001</v>
      </c>
      <c r="E97" s="106">
        <v>0.14000000000000001</v>
      </c>
      <c r="F97" s="106">
        <v>0.14000000000000001</v>
      </c>
      <c r="G97" s="106">
        <v>0.14000000000000001</v>
      </c>
      <c r="H97" s="106">
        <v>0.14000000000000001</v>
      </c>
      <c r="I97" s="106">
        <v>0.14000000000000001</v>
      </c>
      <c r="J97" s="106">
        <v>0.14000000000000001</v>
      </c>
      <c r="K97" s="106">
        <v>0.14000000000000001</v>
      </c>
      <c r="L97" s="106">
        <v>0.14000000000000001</v>
      </c>
      <c r="M97" s="106">
        <v>0.14000000000000001</v>
      </c>
      <c r="N97" s="106">
        <v>0.14000000000000001</v>
      </c>
      <c r="O97" s="64"/>
      <c r="P97" s="64"/>
      <c r="Q97" s="64"/>
      <c r="R97" s="64"/>
      <c r="S97" s="64"/>
      <c r="T97" s="64"/>
      <c r="U97" s="64"/>
      <c r="V97" s="64"/>
      <c r="W97" s="64"/>
    </row>
    <row r="98" spans="1:23" s="61" customFormat="1" ht="15" x14ac:dyDescent="0.25">
      <c r="A98" s="178" t="s">
        <v>3</v>
      </c>
      <c r="B98" s="315" t="s">
        <v>19</v>
      </c>
      <c r="C98" s="106">
        <v>0.14000000000000001</v>
      </c>
      <c r="D98" s="106">
        <v>0.14000000000000001</v>
      </c>
      <c r="E98" s="106">
        <v>0.14000000000000001</v>
      </c>
      <c r="F98" s="106">
        <v>0.14000000000000001</v>
      </c>
      <c r="G98" s="106">
        <v>0.14000000000000001</v>
      </c>
      <c r="H98" s="106">
        <v>0.14000000000000001</v>
      </c>
      <c r="I98" s="106">
        <v>0.14000000000000001</v>
      </c>
      <c r="J98" s="106">
        <v>0.14000000000000001</v>
      </c>
      <c r="K98" s="106">
        <v>0.14000000000000001</v>
      </c>
      <c r="L98" s="106">
        <v>0.14000000000000001</v>
      </c>
      <c r="M98" s="106">
        <v>0.14000000000000001</v>
      </c>
      <c r="N98" s="106">
        <v>0.14000000000000001</v>
      </c>
      <c r="O98" s="64"/>
      <c r="P98" s="64"/>
      <c r="Q98" s="64"/>
      <c r="R98" s="64"/>
      <c r="S98" s="64"/>
      <c r="T98" s="64"/>
      <c r="U98" s="64"/>
      <c r="V98" s="64"/>
      <c r="W98" s="64"/>
    </row>
    <row r="99" spans="1:23" s="61" customFormat="1" ht="15" x14ac:dyDescent="0.25">
      <c r="A99" s="178" t="s">
        <v>4</v>
      </c>
      <c r="B99" s="315" t="s">
        <v>19</v>
      </c>
      <c r="C99" s="106">
        <v>0.04</v>
      </c>
      <c r="D99" s="106">
        <v>0.04</v>
      </c>
      <c r="E99" s="106">
        <v>0.04</v>
      </c>
      <c r="F99" s="106">
        <v>0.04</v>
      </c>
      <c r="G99" s="106">
        <v>0.04</v>
      </c>
      <c r="H99" s="106">
        <v>0.04</v>
      </c>
      <c r="I99" s="106">
        <v>0.04</v>
      </c>
      <c r="J99" s="106">
        <v>0.04</v>
      </c>
      <c r="K99" s="106">
        <v>0.04</v>
      </c>
      <c r="L99" s="106">
        <v>0.04</v>
      </c>
      <c r="M99" s="106">
        <v>0.04</v>
      </c>
      <c r="N99" s="106">
        <v>0.04</v>
      </c>
      <c r="O99" s="64"/>
      <c r="P99" s="64"/>
      <c r="Q99" s="64"/>
      <c r="R99" s="64"/>
      <c r="S99" s="64"/>
      <c r="T99" s="64"/>
      <c r="U99" s="64"/>
      <c r="V99" s="64"/>
      <c r="W99" s="64"/>
    </row>
    <row r="100" spans="1:23" s="61" customFormat="1" ht="15" x14ac:dyDescent="0.25">
      <c r="A100" s="178" t="s">
        <v>5</v>
      </c>
      <c r="B100" s="315" t="s">
        <v>19</v>
      </c>
      <c r="C100" s="106">
        <v>0.01</v>
      </c>
      <c r="D100" s="106">
        <v>0.01</v>
      </c>
      <c r="E100" s="106">
        <v>0.01</v>
      </c>
      <c r="F100" s="106">
        <v>0.01</v>
      </c>
      <c r="G100" s="106">
        <v>0.01</v>
      </c>
      <c r="H100" s="106">
        <v>0.01</v>
      </c>
      <c r="I100" s="106">
        <v>0.01</v>
      </c>
      <c r="J100" s="106">
        <v>0.01</v>
      </c>
      <c r="K100" s="106">
        <v>0.01</v>
      </c>
      <c r="L100" s="106">
        <v>0.01</v>
      </c>
      <c r="M100" s="106">
        <v>0.01</v>
      </c>
      <c r="N100" s="106">
        <v>0.01</v>
      </c>
      <c r="O100" s="64"/>
      <c r="P100" s="64"/>
      <c r="Q100" s="64"/>
      <c r="R100" s="64"/>
      <c r="S100" s="64"/>
      <c r="T100" s="64"/>
      <c r="U100" s="64"/>
      <c r="V100" s="64"/>
      <c r="W100" s="64"/>
    </row>
    <row r="101" spans="1:23" s="61" customFormat="1" ht="15" x14ac:dyDescent="0.25">
      <c r="A101" s="178" t="s">
        <v>6</v>
      </c>
      <c r="B101" s="315" t="s">
        <v>19</v>
      </c>
      <c r="C101" s="106">
        <v>0.01</v>
      </c>
      <c r="D101" s="106">
        <v>0.01</v>
      </c>
      <c r="E101" s="106">
        <v>0.01</v>
      </c>
      <c r="F101" s="106">
        <v>0.01</v>
      </c>
      <c r="G101" s="106">
        <v>0.01</v>
      </c>
      <c r="H101" s="106">
        <v>0.01</v>
      </c>
      <c r="I101" s="106">
        <v>0.01</v>
      </c>
      <c r="J101" s="106">
        <v>0.01</v>
      </c>
      <c r="K101" s="106">
        <v>0.01</v>
      </c>
      <c r="L101" s="106">
        <v>0.01</v>
      </c>
      <c r="M101" s="106">
        <v>0.01</v>
      </c>
      <c r="N101" s="106">
        <v>0.01</v>
      </c>
      <c r="O101" s="64"/>
      <c r="P101" s="64"/>
      <c r="Q101" s="64"/>
      <c r="R101" s="64"/>
      <c r="S101" s="64"/>
      <c r="T101" s="64"/>
      <c r="U101" s="64"/>
      <c r="V101" s="64"/>
      <c r="W101" s="64"/>
    </row>
    <row r="102" spans="1:23" s="61" customFormat="1" ht="15" x14ac:dyDescent="0.25">
      <c r="A102" s="178" t="s">
        <v>12</v>
      </c>
      <c r="B102" s="315" t="s">
        <v>19</v>
      </c>
      <c r="C102" s="106">
        <v>5.5E-2</v>
      </c>
      <c r="D102" s="106">
        <v>5.5E-2</v>
      </c>
      <c r="E102" s="106">
        <v>5.5E-2</v>
      </c>
      <c r="F102" s="106">
        <v>5.5E-2</v>
      </c>
      <c r="G102" s="106">
        <v>5.5E-2</v>
      </c>
      <c r="H102" s="106">
        <v>5.5E-2</v>
      </c>
      <c r="I102" s="106">
        <v>5.5E-2</v>
      </c>
      <c r="J102" s="106">
        <v>5.5E-2</v>
      </c>
      <c r="K102" s="106">
        <v>5.5E-2</v>
      </c>
      <c r="L102" s="106">
        <v>5.5E-2</v>
      </c>
      <c r="M102" s="106">
        <v>5.5E-2</v>
      </c>
      <c r="N102" s="106">
        <v>5.5E-2</v>
      </c>
      <c r="O102" s="64"/>
      <c r="P102" s="64"/>
      <c r="Q102" s="64"/>
      <c r="R102" s="64"/>
      <c r="S102" s="64"/>
      <c r="T102" s="64"/>
      <c r="U102" s="64"/>
      <c r="V102" s="64"/>
      <c r="W102" s="64"/>
    </row>
    <row r="103" spans="1:23" s="61" customFormat="1" ht="15" x14ac:dyDescent="0.25">
      <c r="A103" s="178" t="s">
        <v>11</v>
      </c>
      <c r="B103" s="315" t="s">
        <v>19</v>
      </c>
      <c r="C103" s="106">
        <v>2.5000000000000001E-2</v>
      </c>
      <c r="D103" s="106">
        <v>2.5000000000000001E-2</v>
      </c>
      <c r="E103" s="106">
        <v>2.5000000000000001E-2</v>
      </c>
      <c r="F103" s="106">
        <v>2.5000000000000001E-2</v>
      </c>
      <c r="G103" s="106">
        <v>2.5000000000000001E-2</v>
      </c>
      <c r="H103" s="106">
        <v>2.5000000000000001E-2</v>
      </c>
      <c r="I103" s="106">
        <v>2.5000000000000001E-2</v>
      </c>
      <c r="J103" s="106">
        <v>2.5000000000000001E-2</v>
      </c>
      <c r="K103" s="106">
        <v>2.5000000000000001E-2</v>
      </c>
      <c r="L103" s="106">
        <v>2.5000000000000001E-2</v>
      </c>
      <c r="M103" s="106">
        <v>2.5000000000000001E-2</v>
      </c>
      <c r="N103" s="106">
        <v>2.5000000000000001E-2</v>
      </c>
      <c r="O103" s="64"/>
      <c r="P103" s="64"/>
      <c r="Q103" s="64"/>
      <c r="R103" s="64"/>
      <c r="S103" s="64"/>
      <c r="T103" s="64"/>
      <c r="U103" s="64"/>
      <c r="V103" s="64"/>
      <c r="W103" s="64"/>
    </row>
    <row r="104" spans="1:23" s="61" customFormat="1" ht="15" x14ac:dyDescent="0.25">
      <c r="A104" s="178" t="s">
        <v>7</v>
      </c>
      <c r="B104" s="315" t="s">
        <v>19</v>
      </c>
      <c r="C104" s="106">
        <v>0.08</v>
      </c>
      <c r="D104" s="106">
        <v>0.08</v>
      </c>
      <c r="E104" s="106">
        <v>0.08</v>
      </c>
      <c r="F104" s="106">
        <v>0.08</v>
      </c>
      <c r="G104" s="106">
        <v>0.08</v>
      </c>
      <c r="H104" s="106">
        <v>0.08</v>
      </c>
      <c r="I104" s="106">
        <v>0.08</v>
      </c>
      <c r="J104" s="106">
        <v>0.08</v>
      </c>
      <c r="K104" s="106">
        <v>0.08</v>
      </c>
      <c r="L104" s="106">
        <v>0.08</v>
      </c>
      <c r="M104" s="106">
        <v>0.08</v>
      </c>
      <c r="N104" s="106">
        <v>0.08</v>
      </c>
      <c r="O104" s="64"/>
      <c r="P104" s="64"/>
      <c r="Q104" s="64"/>
      <c r="R104" s="64"/>
      <c r="S104" s="64"/>
      <c r="T104" s="64"/>
      <c r="U104" s="64"/>
      <c r="V104" s="64"/>
      <c r="W104" s="64"/>
    </row>
    <row r="105" spans="1:23" s="61" customFormat="1" ht="15" x14ac:dyDescent="0.25">
      <c r="A105" s="178" t="s">
        <v>8</v>
      </c>
      <c r="B105" s="315" t="s">
        <v>19</v>
      </c>
      <c r="C105" s="106">
        <v>2.5000000000000001E-2</v>
      </c>
      <c r="D105" s="106">
        <v>2.5000000000000001E-2</v>
      </c>
      <c r="E105" s="106">
        <v>2.5000000000000001E-2</v>
      </c>
      <c r="F105" s="106">
        <v>2.5000000000000001E-2</v>
      </c>
      <c r="G105" s="106">
        <v>2.5000000000000001E-2</v>
      </c>
      <c r="H105" s="106">
        <v>2.5000000000000001E-2</v>
      </c>
      <c r="I105" s="106">
        <v>2.5000000000000001E-2</v>
      </c>
      <c r="J105" s="106">
        <v>2.5000000000000001E-2</v>
      </c>
      <c r="K105" s="106">
        <v>2.5000000000000001E-2</v>
      </c>
      <c r="L105" s="106">
        <v>2.5000000000000001E-2</v>
      </c>
      <c r="M105" s="106">
        <v>2.5000000000000001E-2</v>
      </c>
      <c r="N105" s="106">
        <v>2.5000000000000001E-2</v>
      </c>
      <c r="O105" s="64"/>
      <c r="P105" s="64"/>
      <c r="Q105" s="64"/>
      <c r="R105" s="64"/>
      <c r="S105" s="64"/>
      <c r="T105" s="64"/>
      <c r="U105" s="64"/>
      <c r="V105" s="64"/>
      <c r="W105" s="64"/>
    </row>
    <row r="106" spans="1:23" s="61" customFormat="1" ht="15" x14ac:dyDescent="0.25">
      <c r="A106" s="178" t="s">
        <v>9</v>
      </c>
      <c r="B106" s="315" t="s">
        <v>19</v>
      </c>
      <c r="C106" s="106">
        <v>0.13</v>
      </c>
      <c r="D106" s="106">
        <v>0.13</v>
      </c>
      <c r="E106" s="106">
        <v>0.13</v>
      </c>
      <c r="F106" s="106">
        <v>0.13</v>
      </c>
      <c r="G106" s="106">
        <v>0.13</v>
      </c>
      <c r="H106" s="106">
        <v>0.13</v>
      </c>
      <c r="I106" s="106">
        <v>0.13</v>
      </c>
      <c r="J106" s="106">
        <v>0.13</v>
      </c>
      <c r="K106" s="106">
        <v>0.13</v>
      </c>
      <c r="L106" s="106">
        <v>0.13</v>
      </c>
      <c r="M106" s="106">
        <v>0.13</v>
      </c>
      <c r="N106" s="106">
        <v>0.13</v>
      </c>
      <c r="O106" s="64"/>
      <c r="P106" s="64"/>
      <c r="Q106" s="64"/>
      <c r="R106" s="64"/>
      <c r="S106" s="64"/>
      <c r="T106" s="64"/>
      <c r="U106" s="64"/>
      <c r="V106" s="64"/>
      <c r="W106" s="64"/>
    </row>
    <row r="107" spans="1:23" s="61" customFormat="1" ht="15" x14ac:dyDescent="0.25">
      <c r="A107" s="178" t="s">
        <v>10</v>
      </c>
      <c r="B107" s="315" t="s">
        <v>19</v>
      </c>
      <c r="C107" s="106">
        <v>5.0000000000000001E-3</v>
      </c>
      <c r="D107" s="106">
        <v>5.0000000000000001E-3</v>
      </c>
      <c r="E107" s="106">
        <v>5.0000000000000001E-3</v>
      </c>
      <c r="F107" s="106">
        <v>5.0000000000000001E-3</v>
      </c>
      <c r="G107" s="106">
        <v>5.0000000000000001E-3</v>
      </c>
      <c r="H107" s="106">
        <v>5.0000000000000001E-3</v>
      </c>
      <c r="I107" s="106">
        <v>5.0000000000000001E-3</v>
      </c>
      <c r="J107" s="106">
        <v>5.0000000000000001E-3</v>
      </c>
      <c r="K107" s="106">
        <v>5.0000000000000001E-3</v>
      </c>
      <c r="L107" s="106">
        <v>5.0000000000000001E-3</v>
      </c>
      <c r="M107" s="106">
        <v>5.0000000000000001E-3</v>
      </c>
      <c r="N107" s="106">
        <v>5.0000000000000001E-3</v>
      </c>
      <c r="O107" s="64"/>
      <c r="P107" s="64"/>
      <c r="Q107" s="64"/>
      <c r="R107" s="64"/>
      <c r="S107" s="64"/>
      <c r="T107" s="64"/>
      <c r="U107" s="64"/>
      <c r="V107" s="64"/>
      <c r="W107" s="64"/>
    </row>
    <row r="108" spans="1:23" s="55" customFormat="1" ht="15" x14ac:dyDescent="0.25">
      <c r="A108" s="179"/>
      <c r="B108" s="312"/>
      <c r="C108" s="184">
        <f t="shared" ref="C108:N108" si="6">SUM(C95:C107)</f>
        <v>1</v>
      </c>
      <c r="D108" s="184">
        <f t="shared" si="6"/>
        <v>1</v>
      </c>
      <c r="E108" s="184">
        <f t="shared" si="6"/>
        <v>1</v>
      </c>
      <c r="F108" s="184">
        <f t="shared" si="6"/>
        <v>1</v>
      </c>
      <c r="G108" s="184">
        <f t="shared" si="6"/>
        <v>1</v>
      </c>
      <c r="H108" s="184">
        <f t="shared" si="6"/>
        <v>1</v>
      </c>
      <c r="I108" s="184">
        <f t="shared" si="6"/>
        <v>1</v>
      </c>
      <c r="J108" s="184">
        <f t="shared" si="6"/>
        <v>1</v>
      </c>
      <c r="K108" s="184">
        <f t="shared" si="6"/>
        <v>1</v>
      </c>
      <c r="L108" s="184">
        <f t="shared" si="6"/>
        <v>1</v>
      </c>
      <c r="M108" s="184">
        <f t="shared" si="6"/>
        <v>1</v>
      </c>
      <c r="N108" s="184">
        <f t="shared" si="6"/>
        <v>1</v>
      </c>
    </row>
    <row r="109" spans="1:23" s="55" customFormat="1" ht="15" x14ac:dyDescent="0.25">
      <c r="A109" s="179"/>
      <c r="B109" s="312"/>
      <c r="C109" s="184"/>
      <c r="D109" s="184"/>
      <c r="E109" s="184"/>
      <c r="F109" s="184"/>
      <c r="G109" s="184"/>
      <c r="H109" s="184"/>
      <c r="I109" s="184"/>
      <c r="J109" s="184"/>
      <c r="K109" s="184"/>
      <c r="L109" s="184"/>
      <c r="M109" s="184"/>
      <c r="N109" s="184"/>
    </row>
    <row r="110" spans="1:23" s="64" customFormat="1" ht="15" x14ac:dyDescent="0.25">
      <c r="A110" s="176" t="str">
        <f>A41</f>
        <v>Общо образувани отпадъци, юридически лица</v>
      </c>
      <c r="B110" s="313" t="s">
        <v>185</v>
      </c>
      <c r="C110" s="105">
        <v>1750</v>
      </c>
      <c r="D110" s="105">
        <v>1750</v>
      </c>
      <c r="E110" s="105">
        <v>1750</v>
      </c>
      <c r="F110" s="105">
        <v>1750</v>
      </c>
      <c r="G110" s="105">
        <v>1750</v>
      </c>
      <c r="H110" s="105">
        <v>1750</v>
      </c>
      <c r="I110" s="105">
        <v>1750</v>
      </c>
      <c r="J110" s="105">
        <v>1750</v>
      </c>
      <c r="K110" s="105">
        <v>1750</v>
      </c>
      <c r="L110" s="105">
        <v>1750</v>
      </c>
      <c r="M110" s="105">
        <v>1750</v>
      </c>
      <c r="N110" s="105">
        <v>1750</v>
      </c>
    </row>
    <row r="111" spans="1:23" s="64" customFormat="1" ht="8.25" customHeight="1" x14ac:dyDescent="0.25">
      <c r="A111" s="176"/>
      <c r="B111" s="313"/>
      <c r="C111" s="176"/>
      <c r="D111" s="176"/>
      <c r="E111" s="176"/>
      <c r="F111" s="176"/>
      <c r="G111" s="176"/>
      <c r="H111" s="176"/>
      <c r="I111" s="176"/>
      <c r="J111" s="176"/>
      <c r="K111" s="176"/>
      <c r="L111" s="176"/>
      <c r="M111" s="176"/>
      <c r="N111" s="176"/>
    </row>
    <row r="112" spans="1:23" s="61" customFormat="1" ht="15" x14ac:dyDescent="0.25">
      <c r="A112" s="176" t="str">
        <f>A43</f>
        <v>Състав на образуваните отпадъци от юридически лица</v>
      </c>
      <c r="B112" s="314"/>
      <c r="C112" s="183"/>
      <c r="D112" s="183"/>
      <c r="E112" s="183"/>
      <c r="F112" s="183"/>
      <c r="G112" s="183"/>
      <c r="H112" s="183"/>
      <c r="I112" s="183"/>
      <c r="J112" s="183"/>
      <c r="K112" s="183"/>
      <c r="L112" s="183"/>
      <c r="M112" s="183"/>
      <c r="N112" s="183"/>
    </row>
    <row r="113" spans="1:23" s="61" customFormat="1" ht="15" x14ac:dyDescent="0.25">
      <c r="A113" s="178" t="s">
        <v>0</v>
      </c>
      <c r="B113" s="315" t="s">
        <v>19</v>
      </c>
      <c r="C113" s="106">
        <v>0.21</v>
      </c>
      <c r="D113" s="106">
        <v>0.21</v>
      </c>
      <c r="E113" s="106">
        <v>0.21</v>
      </c>
      <c r="F113" s="106">
        <v>0.21</v>
      </c>
      <c r="G113" s="106">
        <v>0.21</v>
      </c>
      <c r="H113" s="106">
        <v>0.21</v>
      </c>
      <c r="I113" s="106">
        <v>0.21</v>
      </c>
      <c r="J113" s="106">
        <v>0.21</v>
      </c>
      <c r="K113" s="106">
        <v>0.21</v>
      </c>
      <c r="L113" s="106">
        <v>0.21</v>
      </c>
      <c r="M113" s="106">
        <v>0.21</v>
      </c>
      <c r="N113" s="106">
        <v>0.21</v>
      </c>
      <c r="O113" s="64"/>
      <c r="P113" s="64"/>
      <c r="Q113" s="64"/>
      <c r="R113" s="64"/>
      <c r="S113" s="64"/>
      <c r="T113" s="64"/>
      <c r="U113" s="64"/>
      <c r="V113" s="64"/>
      <c r="W113" s="64"/>
    </row>
    <row r="114" spans="1:23" s="61" customFormat="1" ht="15" x14ac:dyDescent="0.25">
      <c r="A114" s="178" t="s">
        <v>1</v>
      </c>
      <c r="B114" s="315" t="s">
        <v>19</v>
      </c>
      <c r="C114" s="106">
        <v>0.13</v>
      </c>
      <c r="D114" s="106">
        <v>0.13</v>
      </c>
      <c r="E114" s="106">
        <v>0.13</v>
      </c>
      <c r="F114" s="106">
        <v>0.13</v>
      </c>
      <c r="G114" s="106">
        <v>0.13</v>
      </c>
      <c r="H114" s="106">
        <v>0.13</v>
      </c>
      <c r="I114" s="106">
        <v>0.13</v>
      </c>
      <c r="J114" s="106">
        <v>0.13</v>
      </c>
      <c r="K114" s="106">
        <v>0.13</v>
      </c>
      <c r="L114" s="106">
        <v>0.13</v>
      </c>
      <c r="M114" s="106">
        <v>0.13</v>
      </c>
      <c r="N114" s="106">
        <v>0.13</v>
      </c>
      <c r="O114" s="64"/>
      <c r="P114" s="64"/>
      <c r="Q114" s="64"/>
      <c r="R114" s="64"/>
      <c r="S114" s="64"/>
      <c r="T114" s="64"/>
      <c r="U114" s="64"/>
      <c r="V114" s="64"/>
      <c r="W114" s="64"/>
    </row>
    <row r="115" spans="1:23" s="61" customFormat="1" ht="15" x14ac:dyDescent="0.25">
      <c r="A115" s="178" t="s">
        <v>2</v>
      </c>
      <c r="B115" s="315" t="s">
        <v>19</v>
      </c>
      <c r="C115" s="106">
        <v>0.14000000000000001</v>
      </c>
      <c r="D115" s="106">
        <v>0.14000000000000001</v>
      </c>
      <c r="E115" s="106">
        <v>0.14000000000000001</v>
      </c>
      <c r="F115" s="106">
        <v>0.14000000000000001</v>
      </c>
      <c r="G115" s="106">
        <v>0.14000000000000001</v>
      </c>
      <c r="H115" s="106">
        <v>0.14000000000000001</v>
      </c>
      <c r="I115" s="106">
        <v>0.14000000000000001</v>
      </c>
      <c r="J115" s="106">
        <v>0.14000000000000001</v>
      </c>
      <c r="K115" s="106">
        <v>0.14000000000000001</v>
      </c>
      <c r="L115" s="106">
        <v>0.14000000000000001</v>
      </c>
      <c r="M115" s="106">
        <v>0.14000000000000001</v>
      </c>
      <c r="N115" s="106">
        <v>0.14000000000000001</v>
      </c>
      <c r="O115" s="64"/>
      <c r="P115" s="64"/>
      <c r="Q115" s="64"/>
      <c r="R115" s="64"/>
      <c r="S115" s="64"/>
      <c r="T115" s="64"/>
      <c r="U115" s="64"/>
      <c r="V115" s="64"/>
      <c r="W115" s="64"/>
    </row>
    <row r="116" spans="1:23" s="61" customFormat="1" ht="15" x14ac:dyDescent="0.25">
      <c r="A116" s="178" t="s">
        <v>3</v>
      </c>
      <c r="B116" s="315" t="s">
        <v>19</v>
      </c>
      <c r="C116" s="106">
        <v>0.14000000000000001</v>
      </c>
      <c r="D116" s="106">
        <v>0.14000000000000001</v>
      </c>
      <c r="E116" s="106">
        <v>0.14000000000000001</v>
      </c>
      <c r="F116" s="106">
        <v>0.14000000000000001</v>
      </c>
      <c r="G116" s="106">
        <v>0.14000000000000001</v>
      </c>
      <c r="H116" s="106">
        <v>0.14000000000000001</v>
      </c>
      <c r="I116" s="106">
        <v>0.14000000000000001</v>
      </c>
      <c r="J116" s="106">
        <v>0.14000000000000001</v>
      </c>
      <c r="K116" s="106">
        <v>0.14000000000000001</v>
      </c>
      <c r="L116" s="106">
        <v>0.14000000000000001</v>
      </c>
      <c r="M116" s="106">
        <v>0.14000000000000001</v>
      </c>
      <c r="N116" s="106">
        <v>0.14000000000000001</v>
      </c>
      <c r="O116" s="64"/>
      <c r="P116" s="64"/>
      <c r="Q116" s="64"/>
      <c r="R116" s="64"/>
      <c r="S116" s="64"/>
      <c r="T116" s="64"/>
      <c r="U116" s="64"/>
      <c r="V116" s="64"/>
      <c r="W116" s="64"/>
    </row>
    <row r="117" spans="1:23" s="61" customFormat="1" ht="15" x14ac:dyDescent="0.25">
      <c r="A117" s="178" t="s">
        <v>4</v>
      </c>
      <c r="B117" s="315" t="s">
        <v>19</v>
      </c>
      <c r="C117" s="106">
        <v>0.04</v>
      </c>
      <c r="D117" s="106">
        <v>0.04</v>
      </c>
      <c r="E117" s="106">
        <v>0.04</v>
      </c>
      <c r="F117" s="106">
        <v>0.04</v>
      </c>
      <c r="G117" s="106">
        <v>0.04</v>
      </c>
      <c r="H117" s="106">
        <v>0.04</v>
      </c>
      <c r="I117" s="106">
        <v>0.04</v>
      </c>
      <c r="J117" s="106">
        <v>0.04</v>
      </c>
      <c r="K117" s="106">
        <v>0.04</v>
      </c>
      <c r="L117" s="106">
        <v>0.04</v>
      </c>
      <c r="M117" s="106">
        <v>0.04</v>
      </c>
      <c r="N117" s="106">
        <v>0.04</v>
      </c>
      <c r="O117" s="64"/>
      <c r="P117" s="64"/>
      <c r="Q117" s="64"/>
      <c r="R117" s="64"/>
      <c r="S117" s="64"/>
      <c r="T117" s="64"/>
      <c r="U117" s="64"/>
      <c r="V117" s="64"/>
      <c r="W117" s="64"/>
    </row>
    <row r="118" spans="1:23" s="61" customFormat="1" ht="15" x14ac:dyDescent="0.25">
      <c r="A118" s="178" t="s">
        <v>5</v>
      </c>
      <c r="B118" s="315" t="s">
        <v>19</v>
      </c>
      <c r="C118" s="106">
        <v>0.01</v>
      </c>
      <c r="D118" s="106">
        <v>0.01</v>
      </c>
      <c r="E118" s="106">
        <v>0.01</v>
      </c>
      <c r="F118" s="106">
        <v>0.01</v>
      </c>
      <c r="G118" s="106">
        <v>0.01</v>
      </c>
      <c r="H118" s="106">
        <v>0.01</v>
      </c>
      <c r="I118" s="106">
        <v>0.01</v>
      </c>
      <c r="J118" s="106">
        <v>0.01</v>
      </c>
      <c r="K118" s="106">
        <v>0.01</v>
      </c>
      <c r="L118" s="106">
        <v>0.01</v>
      </c>
      <c r="M118" s="106">
        <v>0.01</v>
      </c>
      <c r="N118" s="106">
        <v>0.01</v>
      </c>
      <c r="O118" s="64"/>
      <c r="P118" s="64"/>
      <c r="Q118" s="64"/>
      <c r="R118" s="64"/>
      <c r="S118" s="64"/>
      <c r="T118" s="64"/>
      <c r="U118" s="64"/>
      <c r="V118" s="64"/>
      <c r="W118" s="64"/>
    </row>
    <row r="119" spans="1:23" s="61" customFormat="1" ht="15" x14ac:dyDescent="0.25">
      <c r="A119" s="178" t="s">
        <v>6</v>
      </c>
      <c r="B119" s="315" t="s">
        <v>19</v>
      </c>
      <c r="C119" s="106">
        <v>0.01</v>
      </c>
      <c r="D119" s="106">
        <v>0.01</v>
      </c>
      <c r="E119" s="106">
        <v>0.01</v>
      </c>
      <c r="F119" s="106">
        <v>0.01</v>
      </c>
      <c r="G119" s="106">
        <v>0.01</v>
      </c>
      <c r="H119" s="106">
        <v>0.01</v>
      </c>
      <c r="I119" s="106">
        <v>0.01</v>
      </c>
      <c r="J119" s="106">
        <v>0.01</v>
      </c>
      <c r="K119" s="106">
        <v>0.01</v>
      </c>
      <c r="L119" s="106">
        <v>0.01</v>
      </c>
      <c r="M119" s="106">
        <v>0.01</v>
      </c>
      <c r="N119" s="106">
        <v>0.01</v>
      </c>
      <c r="O119" s="64"/>
      <c r="P119" s="64"/>
      <c r="Q119" s="64"/>
      <c r="R119" s="64"/>
      <c r="S119" s="64"/>
      <c r="T119" s="64"/>
      <c r="U119" s="64"/>
      <c r="V119" s="64"/>
      <c r="W119" s="64"/>
    </row>
    <row r="120" spans="1:23" s="61" customFormat="1" ht="15" x14ac:dyDescent="0.25">
      <c r="A120" s="178" t="s">
        <v>12</v>
      </c>
      <c r="B120" s="315" t="s">
        <v>19</v>
      </c>
      <c r="C120" s="106">
        <v>5.5E-2</v>
      </c>
      <c r="D120" s="106">
        <v>5.5E-2</v>
      </c>
      <c r="E120" s="106">
        <v>5.5E-2</v>
      </c>
      <c r="F120" s="106">
        <v>5.5E-2</v>
      </c>
      <c r="G120" s="106">
        <v>5.5E-2</v>
      </c>
      <c r="H120" s="106">
        <v>5.5E-2</v>
      </c>
      <c r="I120" s="106">
        <v>5.5E-2</v>
      </c>
      <c r="J120" s="106">
        <v>5.5E-2</v>
      </c>
      <c r="K120" s="106">
        <v>5.5E-2</v>
      </c>
      <c r="L120" s="106">
        <v>5.5E-2</v>
      </c>
      <c r="M120" s="106">
        <v>5.5E-2</v>
      </c>
      <c r="N120" s="106">
        <v>5.5E-2</v>
      </c>
      <c r="O120" s="64"/>
      <c r="P120" s="64"/>
      <c r="Q120" s="64"/>
      <c r="R120" s="64"/>
      <c r="S120" s="64"/>
      <c r="T120" s="64"/>
      <c r="U120" s="64"/>
      <c r="V120" s="64"/>
      <c r="W120" s="64"/>
    </row>
    <row r="121" spans="1:23" s="61" customFormat="1" ht="15" x14ac:dyDescent="0.25">
      <c r="A121" s="178" t="s">
        <v>11</v>
      </c>
      <c r="B121" s="315" t="s">
        <v>19</v>
      </c>
      <c r="C121" s="106">
        <v>2.5000000000000001E-2</v>
      </c>
      <c r="D121" s="106">
        <v>2.5000000000000001E-2</v>
      </c>
      <c r="E121" s="106">
        <v>2.5000000000000001E-2</v>
      </c>
      <c r="F121" s="106">
        <v>2.5000000000000001E-2</v>
      </c>
      <c r="G121" s="106">
        <v>2.5000000000000001E-2</v>
      </c>
      <c r="H121" s="106">
        <v>2.5000000000000001E-2</v>
      </c>
      <c r="I121" s="106">
        <v>2.5000000000000001E-2</v>
      </c>
      <c r="J121" s="106">
        <v>2.5000000000000001E-2</v>
      </c>
      <c r="K121" s="106">
        <v>2.5000000000000001E-2</v>
      </c>
      <c r="L121" s="106">
        <v>2.5000000000000001E-2</v>
      </c>
      <c r="M121" s="106">
        <v>2.5000000000000001E-2</v>
      </c>
      <c r="N121" s="106">
        <v>2.5000000000000001E-2</v>
      </c>
      <c r="O121" s="64"/>
      <c r="P121" s="64"/>
      <c r="Q121" s="64"/>
      <c r="R121" s="64"/>
      <c r="S121" s="64"/>
      <c r="T121" s="64"/>
      <c r="U121" s="64"/>
      <c r="V121" s="64"/>
      <c r="W121" s="64"/>
    </row>
    <row r="122" spans="1:23" s="61" customFormat="1" ht="15" x14ac:dyDescent="0.25">
      <c r="A122" s="178" t="s">
        <v>7</v>
      </c>
      <c r="B122" s="315" t="s">
        <v>19</v>
      </c>
      <c r="C122" s="106">
        <v>0.08</v>
      </c>
      <c r="D122" s="106">
        <v>0.08</v>
      </c>
      <c r="E122" s="106">
        <v>0.08</v>
      </c>
      <c r="F122" s="106">
        <v>0.08</v>
      </c>
      <c r="G122" s="106">
        <v>0.08</v>
      </c>
      <c r="H122" s="106">
        <v>0.08</v>
      </c>
      <c r="I122" s="106">
        <v>0.08</v>
      </c>
      <c r="J122" s="106">
        <v>0.08</v>
      </c>
      <c r="K122" s="106">
        <v>0.08</v>
      </c>
      <c r="L122" s="106">
        <v>0.08</v>
      </c>
      <c r="M122" s="106">
        <v>0.08</v>
      </c>
      <c r="N122" s="106">
        <v>0.08</v>
      </c>
      <c r="O122" s="64"/>
      <c r="P122" s="64"/>
      <c r="Q122" s="64"/>
      <c r="R122" s="64"/>
      <c r="S122" s="64"/>
      <c r="T122" s="64"/>
      <c r="U122" s="64"/>
      <c r="V122" s="64"/>
      <c r="W122" s="64"/>
    </row>
    <row r="123" spans="1:23" s="61" customFormat="1" ht="15" x14ac:dyDescent="0.25">
      <c r="A123" s="178" t="s">
        <v>8</v>
      </c>
      <c r="B123" s="315" t="s">
        <v>19</v>
      </c>
      <c r="C123" s="106">
        <v>2.5000000000000001E-2</v>
      </c>
      <c r="D123" s="106">
        <v>2.5000000000000001E-2</v>
      </c>
      <c r="E123" s="106">
        <v>2.5000000000000001E-2</v>
      </c>
      <c r="F123" s="106">
        <v>2.5000000000000001E-2</v>
      </c>
      <c r="G123" s="106">
        <v>2.5000000000000001E-2</v>
      </c>
      <c r="H123" s="106">
        <v>2.5000000000000001E-2</v>
      </c>
      <c r="I123" s="106">
        <v>2.5000000000000001E-2</v>
      </c>
      <c r="J123" s="106">
        <v>2.5000000000000001E-2</v>
      </c>
      <c r="K123" s="106">
        <v>2.5000000000000001E-2</v>
      </c>
      <c r="L123" s="106">
        <v>2.5000000000000001E-2</v>
      </c>
      <c r="M123" s="106">
        <v>2.5000000000000001E-2</v>
      </c>
      <c r="N123" s="106">
        <v>2.5000000000000001E-2</v>
      </c>
      <c r="O123" s="64"/>
      <c r="P123" s="64"/>
      <c r="Q123" s="64"/>
      <c r="R123" s="64"/>
      <c r="S123" s="64"/>
      <c r="T123" s="64"/>
      <c r="U123" s="64"/>
      <c r="V123" s="64"/>
      <c r="W123" s="64"/>
    </row>
    <row r="124" spans="1:23" s="61" customFormat="1" ht="15" x14ac:dyDescent="0.25">
      <c r="A124" s="178" t="s">
        <v>9</v>
      </c>
      <c r="B124" s="315" t="s">
        <v>19</v>
      </c>
      <c r="C124" s="106">
        <v>0.13</v>
      </c>
      <c r="D124" s="106">
        <v>0.13</v>
      </c>
      <c r="E124" s="106">
        <v>0.13</v>
      </c>
      <c r="F124" s="106">
        <v>0.13</v>
      </c>
      <c r="G124" s="106">
        <v>0.13</v>
      </c>
      <c r="H124" s="106">
        <v>0.13</v>
      </c>
      <c r="I124" s="106">
        <v>0.13</v>
      </c>
      <c r="J124" s="106">
        <v>0.13</v>
      </c>
      <c r="K124" s="106">
        <v>0.13</v>
      </c>
      <c r="L124" s="106">
        <v>0.13</v>
      </c>
      <c r="M124" s="106">
        <v>0.13</v>
      </c>
      <c r="N124" s="106">
        <v>0.13</v>
      </c>
      <c r="O124" s="64"/>
      <c r="P124" s="64"/>
      <c r="Q124" s="64"/>
      <c r="R124" s="64"/>
      <c r="S124" s="64"/>
      <c r="T124" s="64"/>
      <c r="U124" s="64"/>
      <c r="V124" s="64"/>
      <c r="W124" s="64"/>
    </row>
    <row r="125" spans="1:23" s="61" customFormat="1" ht="15" x14ac:dyDescent="0.25">
      <c r="A125" s="178" t="s">
        <v>10</v>
      </c>
      <c r="B125" s="315" t="s">
        <v>19</v>
      </c>
      <c r="C125" s="106">
        <v>5.0000000000000001E-3</v>
      </c>
      <c r="D125" s="106">
        <v>5.0000000000000001E-3</v>
      </c>
      <c r="E125" s="106">
        <v>5.0000000000000001E-3</v>
      </c>
      <c r="F125" s="106">
        <v>5.0000000000000001E-3</v>
      </c>
      <c r="G125" s="106">
        <v>5.0000000000000001E-3</v>
      </c>
      <c r="H125" s="106">
        <v>5.0000000000000001E-3</v>
      </c>
      <c r="I125" s="106">
        <v>5.0000000000000001E-3</v>
      </c>
      <c r="J125" s="106">
        <v>5.0000000000000001E-3</v>
      </c>
      <c r="K125" s="106">
        <v>5.0000000000000001E-3</v>
      </c>
      <c r="L125" s="106">
        <v>5.0000000000000001E-3</v>
      </c>
      <c r="M125" s="106">
        <v>5.0000000000000001E-3</v>
      </c>
      <c r="N125" s="106">
        <v>5.0000000000000001E-3</v>
      </c>
      <c r="O125" s="64"/>
      <c r="P125" s="64"/>
      <c r="Q125" s="64"/>
      <c r="R125" s="64"/>
      <c r="S125" s="64"/>
      <c r="T125" s="64"/>
      <c r="U125" s="64"/>
      <c r="V125" s="64"/>
      <c r="W125" s="64"/>
    </row>
    <row r="126" spans="1:23" s="55" customFormat="1" ht="15" x14ac:dyDescent="0.25">
      <c r="A126" s="175"/>
      <c r="B126" s="312"/>
      <c r="C126" s="184">
        <f t="shared" ref="C126:N126" si="7">SUM(C113:C125)</f>
        <v>1</v>
      </c>
      <c r="D126" s="184">
        <f t="shared" si="7"/>
        <v>1</v>
      </c>
      <c r="E126" s="184">
        <f t="shared" si="7"/>
        <v>1</v>
      </c>
      <c r="F126" s="184">
        <f t="shared" si="7"/>
        <v>1</v>
      </c>
      <c r="G126" s="184">
        <f t="shared" si="7"/>
        <v>1</v>
      </c>
      <c r="H126" s="184">
        <f t="shared" si="7"/>
        <v>1</v>
      </c>
      <c r="I126" s="184">
        <f t="shared" si="7"/>
        <v>1</v>
      </c>
      <c r="J126" s="184">
        <f t="shared" si="7"/>
        <v>1</v>
      </c>
      <c r="K126" s="184">
        <f t="shared" si="7"/>
        <v>1</v>
      </c>
      <c r="L126" s="184">
        <f t="shared" si="7"/>
        <v>1</v>
      </c>
      <c r="M126" s="184">
        <f t="shared" si="7"/>
        <v>1</v>
      </c>
      <c r="N126" s="184">
        <f t="shared" si="7"/>
        <v>1</v>
      </c>
    </row>
    <row r="127" spans="1:23" s="55" customFormat="1" ht="18.75" x14ac:dyDescent="0.3">
      <c r="A127" s="180" t="str">
        <f>A58</f>
        <v xml:space="preserve">Разделно събиране  </v>
      </c>
      <c r="B127" s="312"/>
      <c r="C127" s="175"/>
      <c r="D127" s="175"/>
      <c r="E127" s="175"/>
      <c r="F127" s="175"/>
      <c r="G127" s="175"/>
      <c r="H127" s="175"/>
      <c r="I127" s="175"/>
      <c r="J127" s="175"/>
      <c r="K127" s="175"/>
      <c r="L127" s="175"/>
      <c r="M127" s="175"/>
      <c r="N127" s="175"/>
    </row>
    <row r="128" spans="1:23" s="64" customFormat="1" ht="15" x14ac:dyDescent="0.25">
      <c r="A128" s="177" t="str">
        <f>A60</f>
        <v>Цели за разделно събиране за отпадъците от домакинствата, % от образуваните отпадъци от обхванатото население</v>
      </c>
      <c r="B128" s="315"/>
      <c r="C128" s="185"/>
      <c r="D128" s="185"/>
      <c r="E128" s="185"/>
      <c r="F128" s="185"/>
      <c r="G128" s="185"/>
      <c r="H128" s="185"/>
      <c r="I128" s="185"/>
      <c r="J128" s="185"/>
      <c r="K128" s="185"/>
      <c r="L128" s="185"/>
      <c r="M128" s="185"/>
      <c r="N128" s="185"/>
      <c r="O128" s="71"/>
    </row>
    <row r="129" spans="1:15" s="64" customFormat="1" ht="15" x14ac:dyDescent="0.25">
      <c r="A129" s="181" t="s">
        <v>0</v>
      </c>
      <c r="B129" s="315" t="s">
        <v>19</v>
      </c>
      <c r="C129" s="102">
        <v>1</v>
      </c>
      <c r="D129" s="102">
        <v>1</v>
      </c>
      <c r="E129" s="102">
        <v>1</v>
      </c>
      <c r="F129" s="102">
        <v>1</v>
      </c>
      <c r="G129" s="102">
        <v>1</v>
      </c>
      <c r="H129" s="102">
        <v>1</v>
      </c>
      <c r="I129" s="102">
        <v>1</v>
      </c>
      <c r="J129" s="102">
        <v>1</v>
      </c>
      <c r="K129" s="102">
        <v>1</v>
      </c>
      <c r="L129" s="102">
        <v>1</v>
      </c>
      <c r="M129" s="102">
        <v>1</v>
      </c>
      <c r="N129" s="102">
        <v>1</v>
      </c>
      <c r="O129" s="71"/>
    </row>
    <row r="130" spans="1:15" s="64" customFormat="1" ht="15" x14ac:dyDescent="0.25">
      <c r="A130" s="182" t="s">
        <v>1</v>
      </c>
      <c r="B130" s="315" t="s">
        <v>19</v>
      </c>
      <c r="C130" s="102">
        <v>0.7</v>
      </c>
      <c r="D130" s="102">
        <v>0.7</v>
      </c>
      <c r="E130" s="102">
        <v>0.7</v>
      </c>
      <c r="F130" s="102">
        <v>0.7</v>
      </c>
      <c r="G130" s="102">
        <v>0.7</v>
      </c>
      <c r="H130" s="102">
        <v>0.7</v>
      </c>
      <c r="I130" s="102">
        <v>0.7</v>
      </c>
      <c r="J130" s="102">
        <v>0.7</v>
      </c>
      <c r="K130" s="102">
        <v>0.7</v>
      </c>
      <c r="L130" s="102">
        <v>0.7</v>
      </c>
      <c r="M130" s="102">
        <v>0.7</v>
      </c>
      <c r="N130" s="102">
        <v>0.7</v>
      </c>
      <c r="O130" s="71"/>
    </row>
    <row r="131" spans="1:15" s="64" customFormat="1" ht="15" x14ac:dyDescent="0.25">
      <c r="A131" s="182" t="s">
        <v>2</v>
      </c>
      <c r="B131" s="315" t="s">
        <v>19</v>
      </c>
      <c r="C131" s="102">
        <v>0.8</v>
      </c>
      <c r="D131" s="102">
        <v>0.8</v>
      </c>
      <c r="E131" s="102">
        <v>0.8</v>
      </c>
      <c r="F131" s="102">
        <v>0.8</v>
      </c>
      <c r="G131" s="102">
        <v>0.8</v>
      </c>
      <c r="H131" s="102">
        <v>0.8</v>
      </c>
      <c r="I131" s="102">
        <v>0.8</v>
      </c>
      <c r="J131" s="102">
        <v>0.8</v>
      </c>
      <c r="K131" s="102">
        <v>0.8</v>
      </c>
      <c r="L131" s="102">
        <v>0.8</v>
      </c>
      <c r="M131" s="102">
        <v>0.8</v>
      </c>
      <c r="N131" s="102">
        <v>0.8</v>
      </c>
      <c r="O131" s="71"/>
    </row>
    <row r="132" spans="1:15" s="64" customFormat="1" ht="15" x14ac:dyDescent="0.25">
      <c r="A132" s="182" t="s">
        <v>3</v>
      </c>
      <c r="B132" s="315" t="s">
        <v>19</v>
      </c>
      <c r="C132" s="102">
        <v>0.5</v>
      </c>
      <c r="D132" s="102">
        <v>0.5</v>
      </c>
      <c r="E132" s="102">
        <v>0.5</v>
      </c>
      <c r="F132" s="102">
        <v>0.5</v>
      </c>
      <c r="G132" s="102">
        <v>0.5</v>
      </c>
      <c r="H132" s="102">
        <v>0.5</v>
      </c>
      <c r="I132" s="102">
        <v>0.5</v>
      </c>
      <c r="J132" s="102">
        <v>0.5</v>
      </c>
      <c r="K132" s="102">
        <v>0.5</v>
      </c>
      <c r="L132" s="102">
        <v>0.5</v>
      </c>
      <c r="M132" s="102">
        <v>0.5</v>
      </c>
      <c r="N132" s="102">
        <v>0.5</v>
      </c>
      <c r="O132" s="71"/>
    </row>
    <row r="133" spans="1:15" s="64" customFormat="1" ht="15" x14ac:dyDescent="0.25">
      <c r="A133" s="182" t="s">
        <v>12</v>
      </c>
      <c r="B133" s="315" t="s">
        <v>19</v>
      </c>
      <c r="C133" s="102">
        <v>1</v>
      </c>
      <c r="D133" s="102">
        <v>1</v>
      </c>
      <c r="E133" s="102">
        <v>1</v>
      </c>
      <c r="F133" s="102">
        <v>1</v>
      </c>
      <c r="G133" s="102">
        <v>1</v>
      </c>
      <c r="H133" s="102">
        <v>1</v>
      </c>
      <c r="I133" s="102">
        <v>1</v>
      </c>
      <c r="J133" s="102">
        <v>1</v>
      </c>
      <c r="K133" s="102">
        <v>1</v>
      </c>
      <c r="L133" s="102">
        <v>1</v>
      </c>
      <c r="M133" s="102">
        <v>1</v>
      </c>
      <c r="N133" s="102">
        <v>1</v>
      </c>
      <c r="O133" s="71"/>
    </row>
    <row r="134" spans="1:15" s="64" customFormat="1" ht="15" x14ac:dyDescent="0.25">
      <c r="A134" s="182" t="s">
        <v>7</v>
      </c>
      <c r="B134" s="315" t="s">
        <v>19</v>
      </c>
      <c r="C134" s="102">
        <v>0.75</v>
      </c>
      <c r="D134" s="102">
        <v>0.75</v>
      </c>
      <c r="E134" s="102">
        <v>0.75</v>
      </c>
      <c r="F134" s="102">
        <v>0.75</v>
      </c>
      <c r="G134" s="102">
        <v>0.75</v>
      </c>
      <c r="H134" s="102">
        <v>0.75</v>
      </c>
      <c r="I134" s="102">
        <v>0.75</v>
      </c>
      <c r="J134" s="102">
        <v>0.75</v>
      </c>
      <c r="K134" s="102">
        <v>0.75</v>
      </c>
      <c r="L134" s="102">
        <v>0.75</v>
      </c>
      <c r="M134" s="102">
        <v>0.75</v>
      </c>
      <c r="N134" s="102">
        <v>0.75</v>
      </c>
      <c r="O134" s="71"/>
    </row>
    <row r="135" spans="1:15" s="64" customFormat="1" ht="15" x14ac:dyDescent="0.25">
      <c r="A135" s="182" t="s">
        <v>8</v>
      </c>
      <c r="B135" s="315" t="s">
        <v>19</v>
      </c>
      <c r="C135" s="102">
        <v>0.75</v>
      </c>
      <c r="D135" s="102">
        <v>0.75</v>
      </c>
      <c r="E135" s="102">
        <v>0.75</v>
      </c>
      <c r="F135" s="102">
        <v>0.75</v>
      </c>
      <c r="G135" s="102">
        <v>0.75</v>
      </c>
      <c r="H135" s="102">
        <v>0.75</v>
      </c>
      <c r="I135" s="102">
        <v>0.75</v>
      </c>
      <c r="J135" s="102">
        <v>0.75</v>
      </c>
      <c r="K135" s="102">
        <v>0.75</v>
      </c>
      <c r="L135" s="102">
        <v>0.75</v>
      </c>
      <c r="M135" s="102">
        <v>0.75</v>
      </c>
      <c r="N135" s="102">
        <v>0.75</v>
      </c>
      <c r="O135" s="71"/>
    </row>
    <row r="136" spans="1:15" s="55" customFormat="1" ht="15" x14ac:dyDescent="0.25">
      <c r="A136" s="175"/>
      <c r="B136" s="312"/>
      <c r="C136" s="175"/>
      <c r="D136" s="175"/>
      <c r="E136" s="175"/>
      <c r="F136" s="175"/>
      <c r="G136" s="175"/>
      <c r="H136" s="175"/>
      <c r="I136" s="175"/>
      <c r="J136" s="175"/>
      <c r="K136" s="175"/>
      <c r="L136" s="175"/>
      <c r="M136" s="175"/>
      <c r="N136" s="175"/>
    </row>
    <row r="137" spans="1:15" s="55" customFormat="1" ht="15" x14ac:dyDescent="0.25">
      <c r="A137" s="177" t="str">
        <f>A69</f>
        <v>Процент разделно събрани отпадъци, събрани със съдове за разделно събиране от юридически лица</v>
      </c>
      <c r="B137" s="312"/>
      <c r="C137" s="175"/>
      <c r="D137" s="175"/>
      <c r="E137" s="175"/>
      <c r="F137" s="175"/>
      <c r="G137" s="175"/>
      <c r="H137" s="175"/>
      <c r="I137" s="175"/>
      <c r="J137" s="175"/>
      <c r="K137" s="175"/>
      <c r="L137" s="175"/>
      <c r="M137" s="175"/>
      <c r="N137" s="175"/>
    </row>
    <row r="138" spans="1:15" s="55" customFormat="1" ht="15" x14ac:dyDescent="0.25">
      <c r="A138" s="182" t="s">
        <v>1</v>
      </c>
      <c r="B138" s="312" t="s">
        <v>19</v>
      </c>
      <c r="C138" s="102">
        <v>0.7</v>
      </c>
      <c r="D138" s="102">
        <v>0.7</v>
      </c>
      <c r="E138" s="102">
        <v>0.7</v>
      </c>
      <c r="F138" s="102">
        <v>0.7</v>
      </c>
      <c r="G138" s="102">
        <v>0.7</v>
      </c>
      <c r="H138" s="102">
        <v>0.7</v>
      </c>
      <c r="I138" s="102">
        <v>0.7</v>
      </c>
      <c r="J138" s="102">
        <v>0.7</v>
      </c>
      <c r="K138" s="102">
        <v>0.7</v>
      </c>
      <c r="L138" s="102">
        <v>0.7</v>
      </c>
      <c r="M138" s="102">
        <v>0.7</v>
      </c>
      <c r="N138" s="102">
        <v>0.7</v>
      </c>
    </row>
    <row r="139" spans="1:15" s="55" customFormat="1" ht="15" x14ac:dyDescent="0.25">
      <c r="A139" s="182" t="s">
        <v>2</v>
      </c>
      <c r="B139" s="312" t="s">
        <v>19</v>
      </c>
      <c r="C139" s="102">
        <v>0.8</v>
      </c>
      <c r="D139" s="102">
        <v>0.8</v>
      </c>
      <c r="E139" s="102">
        <v>0.8</v>
      </c>
      <c r="F139" s="102">
        <v>0.8</v>
      </c>
      <c r="G139" s="102">
        <v>0.8</v>
      </c>
      <c r="H139" s="102">
        <v>0.8</v>
      </c>
      <c r="I139" s="102">
        <v>0.8</v>
      </c>
      <c r="J139" s="102">
        <v>0.8</v>
      </c>
      <c r="K139" s="102">
        <v>0.8</v>
      </c>
      <c r="L139" s="102">
        <v>0.8</v>
      </c>
      <c r="M139" s="102">
        <v>0.8</v>
      </c>
      <c r="N139" s="102">
        <v>0.8</v>
      </c>
    </row>
    <row r="140" spans="1:15" s="55" customFormat="1" ht="15" x14ac:dyDescent="0.25">
      <c r="A140" s="182" t="s">
        <v>3</v>
      </c>
      <c r="B140" s="312" t="s">
        <v>19</v>
      </c>
      <c r="C140" s="102">
        <v>0.6</v>
      </c>
      <c r="D140" s="102">
        <v>0.6</v>
      </c>
      <c r="E140" s="102">
        <v>0.6</v>
      </c>
      <c r="F140" s="102">
        <v>0.6</v>
      </c>
      <c r="G140" s="102">
        <v>0.6</v>
      </c>
      <c r="H140" s="102">
        <v>0.6</v>
      </c>
      <c r="I140" s="102">
        <v>0.6</v>
      </c>
      <c r="J140" s="102">
        <v>0.6</v>
      </c>
      <c r="K140" s="102">
        <v>0.6</v>
      </c>
      <c r="L140" s="102">
        <v>0.6</v>
      </c>
      <c r="M140" s="102">
        <v>0.6</v>
      </c>
      <c r="N140" s="102">
        <v>0.6</v>
      </c>
    </row>
    <row r="141" spans="1:15" s="55" customFormat="1" ht="15" x14ac:dyDescent="0.25">
      <c r="A141" s="182" t="s">
        <v>7</v>
      </c>
      <c r="B141" s="312" t="s">
        <v>19</v>
      </c>
      <c r="C141" s="102">
        <v>0.8</v>
      </c>
      <c r="D141" s="102">
        <v>0.8</v>
      </c>
      <c r="E141" s="102">
        <v>0.8</v>
      </c>
      <c r="F141" s="102">
        <v>0.8</v>
      </c>
      <c r="G141" s="102">
        <v>0.8</v>
      </c>
      <c r="H141" s="102">
        <v>0.8</v>
      </c>
      <c r="I141" s="102">
        <v>0.8</v>
      </c>
      <c r="J141" s="102">
        <v>0.8</v>
      </c>
      <c r="K141" s="102">
        <v>0.8</v>
      </c>
      <c r="L141" s="102">
        <v>0.8</v>
      </c>
      <c r="M141" s="102">
        <v>0.8</v>
      </c>
      <c r="N141" s="102">
        <v>0.8</v>
      </c>
    </row>
    <row r="142" spans="1:15" s="55" customFormat="1" ht="15" x14ac:dyDescent="0.25">
      <c r="A142" s="182" t="s">
        <v>8</v>
      </c>
      <c r="B142" s="312" t="s">
        <v>19</v>
      </c>
      <c r="C142" s="102">
        <v>0.8</v>
      </c>
      <c r="D142" s="102">
        <v>0.8</v>
      </c>
      <c r="E142" s="102">
        <v>0.8</v>
      </c>
      <c r="F142" s="102">
        <v>0.8</v>
      </c>
      <c r="G142" s="102">
        <v>0.8</v>
      </c>
      <c r="H142" s="102">
        <v>0.8</v>
      </c>
      <c r="I142" s="102">
        <v>0.8</v>
      </c>
      <c r="J142" s="102">
        <v>0.8</v>
      </c>
      <c r="K142" s="102">
        <v>0.8</v>
      </c>
      <c r="L142" s="102">
        <v>0.8</v>
      </c>
      <c r="M142" s="102">
        <v>0.8</v>
      </c>
      <c r="N142" s="102">
        <v>0.8</v>
      </c>
    </row>
    <row r="143" spans="1:15" s="55" customFormat="1" ht="15" x14ac:dyDescent="0.25">
      <c r="A143" s="182" t="s">
        <v>12</v>
      </c>
      <c r="B143" s="316"/>
      <c r="C143" s="184">
        <v>0</v>
      </c>
      <c r="D143" s="184">
        <v>0</v>
      </c>
      <c r="E143" s="184">
        <v>0</v>
      </c>
      <c r="F143" s="184">
        <v>0</v>
      </c>
      <c r="G143" s="184">
        <v>0</v>
      </c>
      <c r="H143" s="184">
        <v>0</v>
      </c>
      <c r="I143" s="184">
        <v>0</v>
      </c>
      <c r="J143" s="184">
        <v>0</v>
      </c>
      <c r="K143" s="184">
        <v>0</v>
      </c>
      <c r="L143" s="184">
        <v>0</v>
      </c>
      <c r="M143" s="184">
        <v>0</v>
      </c>
      <c r="N143" s="184">
        <v>0</v>
      </c>
    </row>
    <row r="144" spans="1:15" s="55" customFormat="1" ht="15" x14ac:dyDescent="0.25">
      <c r="A144" s="175"/>
      <c r="B144" s="312"/>
      <c r="C144" s="175"/>
      <c r="D144" s="175"/>
      <c r="E144" s="175"/>
      <c r="F144" s="175"/>
      <c r="G144" s="175"/>
      <c r="H144" s="175"/>
      <c r="I144" s="175"/>
      <c r="J144" s="175"/>
      <c r="K144" s="175"/>
      <c r="L144" s="175"/>
      <c r="M144" s="175"/>
      <c r="N144" s="175"/>
    </row>
    <row r="145" spans="1:15" s="55" customFormat="1" ht="30" x14ac:dyDescent="0.25">
      <c r="A145" s="176" t="str">
        <f>A77</f>
        <v>Дял на опаковките в събраните отпадъци за рециклиране</v>
      </c>
      <c r="B145" s="312"/>
      <c r="C145" s="175"/>
      <c r="D145" s="175"/>
      <c r="E145" s="175"/>
      <c r="F145" s="175"/>
      <c r="G145" s="175"/>
      <c r="H145" s="175"/>
      <c r="I145" s="175"/>
      <c r="J145" s="175"/>
      <c r="K145" s="175"/>
      <c r="L145" s="175"/>
      <c r="M145" s="175"/>
      <c r="N145" s="175"/>
    </row>
    <row r="146" spans="1:15" s="55" customFormat="1" ht="15" x14ac:dyDescent="0.25">
      <c r="A146" s="182" t="s">
        <v>1</v>
      </c>
      <c r="B146" s="312" t="s">
        <v>19</v>
      </c>
      <c r="C146" s="107">
        <f>C78</f>
        <v>0.4</v>
      </c>
      <c r="D146" s="175"/>
      <c r="E146" s="175"/>
      <c r="F146" s="175"/>
      <c r="G146" s="175"/>
      <c r="H146" s="175"/>
      <c r="I146" s="175"/>
      <c r="J146" s="175"/>
      <c r="K146" s="175"/>
      <c r="L146" s="175"/>
      <c r="M146" s="175"/>
      <c r="N146" s="175"/>
    </row>
    <row r="147" spans="1:15" s="55" customFormat="1" ht="15" x14ac:dyDescent="0.25">
      <c r="A147" s="182" t="s">
        <v>2</v>
      </c>
      <c r="B147" s="312" t="s">
        <v>19</v>
      </c>
      <c r="C147" s="107">
        <f>C79</f>
        <v>0.95</v>
      </c>
      <c r="D147" s="175"/>
      <c r="E147" s="175"/>
      <c r="F147" s="175"/>
      <c r="G147" s="175"/>
      <c r="H147" s="175"/>
      <c r="I147" s="175"/>
      <c r="J147" s="175"/>
      <c r="K147" s="175"/>
      <c r="L147" s="175"/>
      <c r="M147" s="175"/>
      <c r="N147" s="175"/>
    </row>
    <row r="148" spans="1:15" s="55" customFormat="1" ht="15" x14ac:dyDescent="0.25">
      <c r="A148" s="182" t="s">
        <v>3</v>
      </c>
      <c r="B148" s="312" t="s">
        <v>19</v>
      </c>
      <c r="C148" s="107">
        <f>C80</f>
        <v>0.95</v>
      </c>
      <c r="D148" s="175"/>
      <c r="E148" s="175"/>
      <c r="F148" s="175"/>
      <c r="G148" s="175"/>
      <c r="H148" s="175"/>
      <c r="I148" s="175"/>
      <c r="J148" s="175"/>
      <c r="K148" s="175"/>
      <c r="L148" s="175"/>
      <c r="M148" s="175"/>
      <c r="N148" s="175"/>
    </row>
    <row r="149" spans="1:15" s="55" customFormat="1" ht="15" x14ac:dyDescent="0.25">
      <c r="A149" s="182" t="s">
        <v>7</v>
      </c>
      <c r="B149" s="312" t="s">
        <v>19</v>
      </c>
      <c r="C149" s="107">
        <f>C81</f>
        <v>1</v>
      </c>
      <c r="D149" s="175"/>
      <c r="E149" s="175"/>
      <c r="F149" s="175"/>
      <c r="G149" s="175"/>
      <c r="H149" s="175"/>
      <c r="I149" s="175"/>
      <c r="J149" s="175"/>
      <c r="K149" s="175"/>
      <c r="L149" s="175"/>
      <c r="M149" s="175"/>
      <c r="N149" s="175"/>
    </row>
    <row r="150" spans="1:15" s="55" customFormat="1" ht="15" x14ac:dyDescent="0.25">
      <c r="A150" s="182" t="s">
        <v>8</v>
      </c>
      <c r="B150" s="312" t="s">
        <v>19</v>
      </c>
      <c r="C150" s="107">
        <f>C82</f>
        <v>0.9</v>
      </c>
      <c r="D150" s="175"/>
      <c r="E150" s="175"/>
      <c r="F150" s="175"/>
      <c r="G150" s="175"/>
      <c r="H150" s="175"/>
      <c r="I150" s="175"/>
      <c r="J150" s="175"/>
      <c r="K150" s="175"/>
      <c r="L150" s="175"/>
      <c r="M150" s="175"/>
      <c r="N150" s="175"/>
    </row>
    <row r="151" spans="1:15" s="55" customFormat="1" ht="15" x14ac:dyDescent="0.25">
      <c r="A151" s="175"/>
      <c r="B151" s="312"/>
      <c r="C151" s="175"/>
      <c r="D151" s="175"/>
      <c r="E151" s="175"/>
      <c r="F151" s="175"/>
      <c r="G151" s="175"/>
      <c r="H151" s="175"/>
      <c r="I151" s="175"/>
      <c r="J151" s="175"/>
      <c r="K151" s="175"/>
      <c r="L151" s="175"/>
      <c r="M151" s="175"/>
      <c r="N151" s="175"/>
    </row>
    <row r="152" spans="1:15" s="55" customFormat="1" ht="15" x14ac:dyDescent="0.25">
      <c r="A152" s="177" t="str">
        <f>A84</f>
        <v>Примеси в контейнерите за разделно събиране (остатъци при сортиране)</v>
      </c>
      <c r="B152" s="312"/>
      <c r="C152" s="175"/>
      <c r="D152" s="175"/>
      <c r="E152" s="175"/>
      <c r="F152" s="175"/>
      <c r="G152" s="175"/>
      <c r="H152" s="175"/>
      <c r="I152" s="175"/>
      <c r="J152" s="175"/>
      <c r="K152" s="175"/>
      <c r="L152" s="175"/>
      <c r="M152" s="175"/>
      <c r="N152" s="175"/>
    </row>
    <row r="153" spans="1:15" s="64" customFormat="1" ht="15" x14ac:dyDescent="0.25">
      <c r="A153" s="181" t="s">
        <v>124</v>
      </c>
      <c r="B153" s="315"/>
      <c r="C153" s="106">
        <f t="shared" ref="C153:N153" si="8">C85</f>
        <v>0.35</v>
      </c>
      <c r="D153" s="106">
        <f t="shared" si="8"/>
        <v>0.35</v>
      </c>
      <c r="E153" s="106">
        <f t="shared" si="8"/>
        <v>0.35</v>
      </c>
      <c r="F153" s="106">
        <f t="shared" si="8"/>
        <v>0.35</v>
      </c>
      <c r="G153" s="106">
        <f t="shared" si="8"/>
        <v>0.35</v>
      </c>
      <c r="H153" s="106">
        <f t="shared" si="8"/>
        <v>0.35</v>
      </c>
      <c r="I153" s="106">
        <f t="shared" si="8"/>
        <v>0.35</v>
      </c>
      <c r="J153" s="106">
        <f t="shared" si="8"/>
        <v>0.35</v>
      </c>
      <c r="K153" s="106">
        <f t="shared" si="8"/>
        <v>0.35</v>
      </c>
      <c r="L153" s="106">
        <f t="shared" si="8"/>
        <v>0.35</v>
      </c>
      <c r="M153" s="106">
        <f t="shared" si="8"/>
        <v>0.35</v>
      </c>
      <c r="N153" s="106">
        <f t="shared" si="8"/>
        <v>0.35</v>
      </c>
      <c r="O153" s="71"/>
    </row>
    <row r="154" spans="1:15" s="64" customFormat="1" ht="15" x14ac:dyDescent="0.25">
      <c r="A154" s="181" t="s">
        <v>123</v>
      </c>
      <c r="B154" s="315"/>
      <c r="C154" s="106">
        <f t="shared" ref="C154:N154" si="9">C86</f>
        <v>0.2</v>
      </c>
      <c r="D154" s="106">
        <f t="shared" si="9"/>
        <v>0.2</v>
      </c>
      <c r="E154" s="106">
        <f t="shared" si="9"/>
        <v>0.2</v>
      </c>
      <c r="F154" s="106">
        <f t="shared" si="9"/>
        <v>0.2</v>
      </c>
      <c r="G154" s="106">
        <f t="shared" si="9"/>
        <v>0.2</v>
      </c>
      <c r="H154" s="106">
        <f t="shared" si="9"/>
        <v>0.2</v>
      </c>
      <c r="I154" s="106">
        <f t="shared" si="9"/>
        <v>0.2</v>
      </c>
      <c r="J154" s="106">
        <f t="shared" si="9"/>
        <v>0.2</v>
      </c>
      <c r="K154" s="106">
        <f t="shared" si="9"/>
        <v>0.2</v>
      </c>
      <c r="L154" s="106">
        <f t="shared" si="9"/>
        <v>0.2</v>
      </c>
      <c r="M154" s="106">
        <f t="shared" si="9"/>
        <v>0.2</v>
      </c>
      <c r="N154" s="106">
        <f t="shared" si="9"/>
        <v>0.2</v>
      </c>
      <c r="O154" s="71"/>
    </row>
    <row r="155" spans="1:15" s="64" customFormat="1" ht="15" x14ac:dyDescent="0.25">
      <c r="A155" s="181" t="s">
        <v>119</v>
      </c>
      <c r="B155" s="315"/>
      <c r="C155" s="106">
        <f t="shared" ref="C155:N155" si="10">C87</f>
        <v>0.05</v>
      </c>
      <c r="D155" s="106">
        <f t="shared" si="10"/>
        <v>0.05</v>
      </c>
      <c r="E155" s="106">
        <f t="shared" si="10"/>
        <v>0.05</v>
      </c>
      <c r="F155" s="106">
        <f t="shared" si="10"/>
        <v>0.05</v>
      </c>
      <c r="G155" s="106">
        <f t="shared" si="10"/>
        <v>0.05</v>
      </c>
      <c r="H155" s="106">
        <f t="shared" si="10"/>
        <v>0.05</v>
      </c>
      <c r="I155" s="106">
        <f t="shared" si="10"/>
        <v>0.05</v>
      </c>
      <c r="J155" s="106">
        <f t="shared" si="10"/>
        <v>0.05</v>
      </c>
      <c r="K155" s="106">
        <f t="shared" si="10"/>
        <v>0.05</v>
      </c>
      <c r="L155" s="106">
        <f t="shared" si="10"/>
        <v>0.05</v>
      </c>
      <c r="M155" s="106">
        <f t="shared" si="10"/>
        <v>0.05</v>
      </c>
      <c r="N155" s="106">
        <f t="shared" si="10"/>
        <v>0.05</v>
      </c>
      <c r="O155" s="71"/>
    </row>
    <row r="156" spans="1:15" s="55" customFormat="1" ht="15" x14ac:dyDescent="0.25">
      <c r="B156" s="290"/>
    </row>
    <row r="157" spans="1:15" s="55" customFormat="1" ht="15" x14ac:dyDescent="0.25">
      <c r="B157" s="290"/>
    </row>
    <row r="158" spans="1:15" s="55" customFormat="1" ht="15" x14ac:dyDescent="0.25">
      <c r="B158" s="290"/>
    </row>
    <row r="159" spans="1:15" s="55" customFormat="1" ht="15" x14ac:dyDescent="0.25">
      <c r="B159" s="290"/>
    </row>
    <row r="160" spans="1:15" s="55" customFormat="1" ht="15" x14ac:dyDescent="0.25">
      <c r="B160" s="290"/>
    </row>
    <row r="161" spans="2:2" s="55" customFormat="1" ht="15" x14ac:dyDescent="0.25">
      <c r="B161" s="290"/>
    </row>
    <row r="162" spans="2:2" s="55" customFormat="1" ht="15" x14ac:dyDescent="0.25">
      <c r="B162" s="290"/>
    </row>
    <row r="163" spans="2:2" s="55" customFormat="1" ht="15" x14ac:dyDescent="0.25">
      <c r="B163" s="290"/>
    </row>
    <row r="164" spans="2:2" s="55" customFormat="1" ht="15" x14ac:dyDescent="0.25">
      <c r="B164" s="290"/>
    </row>
    <row r="165" spans="2:2" s="55" customFormat="1" ht="15" x14ac:dyDescent="0.25">
      <c r="B165" s="290"/>
    </row>
    <row r="166" spans="2:2" s="55" customFormat="1" ht="15" x14ac:dyDescent="0.25">
      <c r="B166" s="290"/>
    </row>
    <row r="167" spans="2:2" s="55" customFormat="1" ht="15" x14ac:dyDescent="0.25">
      <c r="B167" s="290"/>
    </row>
    <row r="168" spans="2:2" s="55" customFormat="1" ht="15" x14ac:dyDescent="0.25">
      <c r="B168" s="290"/>
    </row>
    <row r="169" spans="2:2" s="55" customFormat="1" ht="15" x14ac:dyDescent="0.25">
      <c r="B169" s="290"/>
    </row>
    <row r="170" spans="2:2" s="55" customFormat="1" ht="15" x14ac:dyDescent="0.25">
      <c r="B170" s="290"/>
    </row>
    <row r="171" spans="2:2" s="55" customFormat="1" ht="15" x14ac:dyDescent="0.25">
      <c r="B171" s="290"/>
    </row>
    <row r="172" spans="2:2" s="55" customFormat="1" ht="15" x14ac:dyDescent="0.25">
      <c r="B172" s="290"/>
    </row>
    <row r="173" spans="2:2" s="55" customFormat="1" ht="15" x14ac:dyDescent="0.25">
      <c r="B173" s="290"/>
    </row>
    <row r="174" spans="2:2" s="55" customFormat="1" ht="15" x14ac:dyDescent="0.25">
      <c r="B174" s="290"/>
    </row>
    <row r="175" spans="2:2" s="55" customFormat="1" ht="15" x14ac:dyDescent="0.25">
      <c r="B175" s="290"/>
    </row>
    <row r="176" spans="2:2" s="55" customFormat="1" ht="15" x14ac:dyDescent="0.25">
      <c r="B176" s="290"/>
    </row>
    <row r="177" spans="1:14" s="55" customFormat="1" ht="15" x14ac:dyDescent="0.25">
      <c r="B177" s="290"/>
    </row>
    <row r="178" spans="1:14" s="55" customFormat="1" ht="15" x14ac:dyDescent="0.25">
      <c r="B178" s="290"/>
    </row>
    <row r="179" spans="1:14" s="55" customFormat="1" ht="15" x14ac:dyDescent="0.25">
      <c r="B179" s="290"/>
    </row>
    <row r="180" spans="1:14" s="55" customFormat="1" ht="15" x14ac:dyDescent="0.25">
      <c r="B180" s="290"/>
    </row>
    <row r="181" spans="1:14" s="55" customFormat="1" ht="15" x14ac:dyDescent="0.25">
      <c r="B181" s="290"/>
    </row>
    <row r="182" spans="1:14" s="55" customFormat="1" ht="15" x14ac:dyDescent="0.25">
      <c r="B182" s="290"/>
    </row>
    <row r="183" spans="1:14" x14ac:dyDescent="0.2">
      <c r="B183" s="349"/>
      <c r="C183" s="328"/>
      <c r="D183" s="328"/>
      <c r="E183" s="328"/>
      <c r="F183" s="328"/>
      <c r="G183" s="328"/>
      <c r="H183" s="328"/>
      <c r="I183" s="328"/>
      <c r="J183" s="328"/>
      <c r="K183" s="328"/>
      <c r="L183" s="328"/>
      <c r="M183" s="328"/>
      <c r="N183" s="328"/>
    </row>
    <row r="184" spans="1:14" x14ac:dyDescent="0.2">
      <c r="B184" s="349"/>
      <c r="C184" s="328"/>
      <c r="D184" s="328"/>
      <c r="E184" s="328"/>
      <c r="F184" s="328"/>
      <c r="G184" s="328"/>
      <c r="H184" s="328"/>
      <c r="I184" s="328"/>
      <c r="J184" s="328"/>
      <c r="K184" s="328"/>
      <c r="L184" s="328"/>
      <c r="M184" s="328"/>
      <c r="N184" s="328"/>
    </row>
    <row r="185" spans="1:14" x14ac:dyDescent="0.2">
      <c r="B185" s="349"/>
      <c r="C185" s="328"/>
      <c r="D185" s="328"/>
      <c r="E185" s="328"/>
      <c r="F185" s="328"/>
      <c r="G185" s="328"/>
      <c r="H185" s="328"/>
      <c r="I185" s="328"/>
      <c r="J185" s="328"/>
      <c r="K185" s="328"/>
      <c r="L185" s="328"/>
      <c r="M185" s="328"/>
      <c r="N185" s="328"/>
    </row>
    <row r="186" spans="1:14" x14ac:dyDescent="0.2">
      <c r="B186" s="349"/>
      <c r="C186" s="328"/>
      <c r="D186" s="328"/>
      <c r="E186" s="328"/>
      <c r="F186" s="328"/>
      <c r="G186" s="328"/>
      <c r="H186" s="328"/>
      <c r="I186" s="328"/>
      <c r="J186" s="328"/>
      <c r="K186" s="328"/>
      <c r="L186" s="328"/>
      <c r="M186" s="328"/>
      <c r="N186" s="328"/>
    </row>
    <row r="187" spans="1:14" x14ac:dyDescent="0.2">
      <c r="B187" s="344"/>
      <c r="C187" s="334"/>
      <c r="D187" s="334"/>
      <c r="E187" s="334"/>
      <c r="F187" s="334"/>
      <c r="G187" s="334"/>
      <c r="H187" s="334"/>
      <c r="I187" s="334"/>
      <c r="J187" s="334"/>
      <c r="K187" s="334"/>
      <c r="L187" s="334"/>
      <c r="M187" s="334"/>
      <c r="N187" s="334"/>
    </row>
    <row r="188" spans="1:14" x14ac:dyDescent="0.2">
      <c r="B188" s="345"/>
      <c r="C188" s="334"/>
      <c r="D188" s="334"/>
      <c r="E188" s="334"/>
      <c r="F188" s="334"/>
      <c r="G188" s="334"/>
      <c r="H188" s="334"/>
      <c r="I188" s="334"/>
      <c r="J188" s="334"/>
      <c r="K188" s="334"/>
      <c r="L188" s="334"/>
      <c r="M188" s="334"/>
      <c r="N188" s="334"/>
    </row>
    <row r="189" spans="1:14" x14ac:dyDescent="0.2">
      <c r="B189" s="349"/>
      <c r="C189" s="328"/>
      <c r="D189" s="328"/>
      <c r="E189" s="328"/>
      <c r="F189" s="328"/>
      <c r="G189" s="328"/>
      <c r="H189" s="328"/>
      <c r="I189" s="328"/>
      <c r="J189" s="328"/>
      <c r="K189" s="328"/>
      <c r="L189" s="328"/>
      <c r="M189" s="328"/>
      <c r="N189" s="328"/>
    </row>
    <row r="190" spans="1:14" x14ac:dyDescent="0.2">
      <c r="B190" s="344"/>
      <c r="C190" s="334"/>
      <c r="D190" s="334"/>
      <c r="E190" s="334"/>
      <c r="F190" s="334"/>
      <c r="G190" s="334"/>
      <c r="H190" s="334"/>
      <c r="I190" s="334"/>
      <c r="J190" s="334"/>
      <c r="K190" s="334"/>
      <c r="L190" s="334"/>
      <c r="M190" s="334"/>
      <c r="N190" s="334"/>
    </row>
    <row r="191" spans="1:14" x14ac:dyDescent="0.2">
      <c r="A191" s="335"/>
      <c r="B191" s="345"/>
      <c r="C191" s="328"/>
      <c r="D191" s="328"/>
      <c r="E191" s="328"/>
      <c r="F191" s="328"/>
      <c r="G191" s="328"/>
      <c r="H191" s="328"/>
      <c r="I191" s="328"/>
      <c r="J191" s="328"/>
      <c r="K191" s="328"/>
      <c r="L191" s="328"/>
      <c r="M191" s="328"/>
      <c r="N191" s="328"/>
    </row>
    <row r="192" spans="1:14" x14ac:dyDescent="0.2">
      <c r="A192" s="333"/>
      <c r="B192" s="349"/>
      <c r="C192" s="328"/>
      <c r="D192" s="328"/>
      <c r="E192" s="328"/>
      <c r="F192" s="328"/>
      <c r="G192" s="328"/>
      <c r="H192" s="328"/>
      <c r="I192" s="328"/>
      <c r="J192" s="328"/>
      <c r="K192" s="328"/>
      <c r="L192" s="328"/>
      <c r="M192" s="328"/>
      <c r="N192" s="328"/>
    </row>
    <row r="193" spans="1:14" x14ac:dyDescent="0.2">
      <c r="A193" s="333"/>
      <c r="B193" s="349"/>
      <c r="C193" s="328"/>
      <c r="D193" s="328"/>
      <c r="E193" s="328"/>
      <c r="F193" s="328"/>
      <c r="G193" s="328"/>
      <c r="H193" s="328"/>
      <c r="I193" s="328"/>
      <c r="J193" s="328"/>
      <c r="K193" s="328"/>
      <c r="L193" s="328"/>
      <c r="M193" s="328"/>
      <c r="N193" s="328"/>
    </row>
    <row r="194" spans="1:14" x14ac:dyDescent="0.2">
      <c r="A194" s="333"/>
      <c r="B194" s="349"/>
      <c r="C194" s="328"/>
      <c r="D194" s="328"/>
      <c r="E194" s="328"/>
      <c r="F194" s="328"/>
      <c r="G194" s="328"/>
      <c r="H194" s="328"/>
      <c r="I194" s="328"/>
      <c r="J194" s="328"/>
      <c r="K194" s="328"/>
      <c r="L194" s="328"/>
      <c r="M194" s="328"/>
      <c r="N194" s="328"/>
    </row>
    <row r="195" spans="1:14" x14ac:dyDescent="0.2">
      <c r="A195" s="333"/>
      <c r="B195" s="349"/>
      <c r="C195" s="328"/>
      <c r="D195" s="328"/>
      <c r="E195" s="328"/>
      <c r="F195" s="328"/>
      <c r="G195" s="328"/>
      <c r="H195" s="328"/>
      <c r="I195" s="328"/>
      <c r="J195" s="328"/>
      <c r="K195" s="328"/>
      <c r="L195" s="328"/>
      <c r="M195" s="328"/>
      <c r="N195" s="328"/>
    </row>
    <row r="196" spans="1:14" x14ac:dyDescent="0.2">
      <c r="A196" s="333"/>
      <c r="B196" s="349"/>
      <c r="C196" s="328"/>
      <c r="D196" s="328"/>
      <c r="E196" s="328"/>
      <c r="F196" s="328"/>
      <c r="G196" s="328"/>
      <c r="H196" s="328"/>
      <c r="I196" s="328"/>
      <c r="J196" s="328"/>
      <c r="K196" s="328"/>
      <c r="L196" s="328"/>
      <c r="M196" s="328"/>
      <c r="N196" s="328"/>
    </row>
    <row r="197" spans="1:14" x14ac:dyDescent="0.2">
      <c r="A197" s="333"/>
      <c r="B197" s="349"/>
      <c r="C197" s="328"/>
      <c r="D197" s="328"/>
      <c r="E197" s="328"/>
      <c r="F197" s="328"/>
      <c r="G197" s="328"/>
      <c r="H197" s="328"/>
      <c r="I197" s="328"/>
      <c r="J197" s="328"/>
      <c r="K197" s="328"/>
      <c r="L197" s="328"/>
      <c r="M197" s="328"/>
      <c r="N197" s="328"/>
    </row>
    <row r="198" spans="1:14" x14ac:dyDescent="0.2">
      <c r="A198" s="333"/>
      <c r="B198" s="349"/>
      <c r="C198" s="328"/>
      <c r="D198" s="328"/>
      <c r="E198" s="328"/>
      <c r="F198" s="328"/>
      <c r="G198" s="328"/>
      <c r="H198" s="328"/>
      <c r="I198" s="328"/>
      <c r="J198" s="328"/>
      <c r="K198" s="328"/>
      <c r="L198" s="328"/>
      <c r="M198" s="328"/>
      <c r="N198" s="328"/>
    </row>
    <row r="199" spans="1:14" x14ac:dyDescent="0.2">
      <c r="A199" s="333"/>
      <c r="B199" s="349"/>
      <c r="C199" s="328"/>
      <c r="D199" s="328"/>
      <c r="E199" s="328"/>
      <c r="F199" s="328"/>
      <c r="G199" s="328"/>
      <c r="H199" s="328"/>
      <c r="I199" s="328"/>
      <c r="J199" s="328"/>
      <c r="K199" s="328"/>
      <c r="L199" s="328"/>
      <c r="M199" s="328"/>
      <c r="N199" s="328"/>
    </row>
    <row r="200" spans="1:14" x14ac:dyDescent="0.2">
      <c r="A200" s="333"/>
      <c r="B200" s="349"/>
      <c r="C200" s="328"/>
      <c r="D200" s="328"/>
      <c r="E200" s="328"/>
      <c r="F200" s="328"/>
      <c r="G200" s="328"/>
      <c r="H200" s="328"/>
      <c r="I200" s="328"/>
      <c r="J200" s="328"/>
      <c r="K200" s="328"/>
      <c r="L200" s="328"/>
      <c r="M200" s="328"/>
      <c r="N200" s="328"/>
    </row>
    <row r="201" spans="1:14" x14ac:dyDescent="0.2">
      <c r="A201" s="333"/>
      <c r="B201" s="350"/>
      <c r="C201" s="328"/>
      <c r="D201" s="328"/>
      <c r="E201" s="328"/>
      <c r="F201" s="328"/>
      <c r="G201" s="328"/>
      <c r="H201" s="328"/>
      <c r="I201" s="328"/>
      <c r="J201" s="328"/>
      <c r="K201" s="328"/>
      <c r="L201" s="328"/>
      <c r="M201" s="328"/>
      <c r="N201" s="328"/>
    </row>
    <row r="202" spans="1:14" x14ac:dyDescent="0.2">
      <c r="A202" s="333"/>
      <c r="B202" s="349"/>
      <c r="C202" s="328"/>
      <c r="D202" s="328"/>
      <c r="E202" s="328"/>
      <c r="F202" s="328"/>
      <c r="G202" s="328"/>
      <c r="H202" s="328"/>
      <c r="I202" s="328"/>
      <c r="J202" s="328"/>
      <c r="K202" s="328"/>
      <c r="L202" s="328"/>
      <c r="M202" s="328"/>
      <c r="N202" s="328"/>
    </row>
    <row r="203" spans="1:14" x14ac:dyDescent="0.2">
      <c r="A203" s="333"/>
      <c r="B203" s="349"/>
      <c r="C203" s="328"/>
      <c r="D203" s="328"/>
      <c r="E203" s="328"/>
      <c r="F203" s="328"/>
      <c r="G203" s="328"/>
      <c r="H203" s="328"/>
      <c r="I203" s="328"/>
      <c r="J203" s="328"/>
      <c r="K203" s="328"/>
      <c r="L203" s="328"/>
      <c r="M203" s="328"/>
      <c r="N203" s="328"/>
    </row>
    <row r="204" spans="1:14" x14ac:dyDescent="0.2">
      <c r="A204" s="333"/>
      <c r="B204" s="349"/>
      <c r="C204" s="328"/>
      <c r="D204" s="328"/>
      <c r="E204" s="328"/>
      <c r="F204" s="328"/>
      <c r="G204" s="328"/>
      <c r="H204" s="328"/>
      <c r="I204" s="328"/>
      <c r="J204" s="328"/>
      <c r="K204" s="328"/>
      <c r="L204" s="328"/>
      <c r="M204" s="328"/>
      <c r="N204" s="328"/>
    </row>
    <row r="205" spans="1:14" x14ac:dyDescent="0.2">
      <c r="A205" s="333"/>
      <c r="B205" s="349"/>
      <c r="C205" s="328"/>
      <c r="D205" s="328"/>
      <c r="E205" s="328"/>
      <c r="F205" s="328"/>
      <c r="G205" s="328"/>
      <c r="H205" s="328"/>
      <c r="I205" s="328"/>
      <c r="J205" s="328"/>
      <c r="K205" s="328"/>
      <c r="L205" s="328"/>
      <c r="M205" s="328"/>
      <c r="N205" s="328"/>
    </row>
    <row r="206" spans="1:14" x14ac:dyDescent="0.2">
      <c r="A206" s="333"/>
      <c r="B206" s="349"/>
      <c r="C206" s="328"/>
      <c r="D206" s="328"/>
      <c r="E206" s="328"/>
      <c r="F206" s="328"/>
      <c r="G206" s="328"/>
      <c r="H206" s="328"/>
      <c r="I206" s="328"/>
      <c r="J206" s="328"/>
      <c r="K206" s="328"/>
      <c r="L206" s="328"/>
      <c r="M206" s="328"/>
      <c r="N206" s="328"/>
    </row>
    <row r="207" spans="1:14" x14ac:dyDescent="0.2">
      <c r="A207" s="333"/>
      <c r="B207" s="349"/>
      <c r="C207" s="328"/>
      <c r="D207" s="328"/>
      <c r="E207" s="328"/>
      <c r="F207" s="328"/>
      <c r="G207" s="328"/>
      <c r="H207" s="328"/>
      <c r="I207" s="328"/>
      <c r="J207" s="328"/>
      <c r="K207" s="328"/>
      <c r="L207" s="328"/>
      <c r="M207" s="328"/>
      <c r="N207" s="328"/>
    </row>
    <row r="208" spans="1:14" x14ac:dyDescent="0.2">
      <c r="B208" s="344"/>
      <c r="C208" s="334"/>
      <c r="D208" s="334"/>
      <c r="E208" s="334"/>
      <c r="F208" s="334"/>
      <c r="G208" s="334"/>
      <c r="H208" s="334"/>
      <c r="I208" s="334"/>
      <c r="J208" s="334"/>
      <c r="K208" s="334"/>
      <c r="L208" s="334"/>
      <c r="M208" s="334"/>
      <c r="N208" s="334"/>
    </row>
    <row r="209" spans="2:14" x14ac:dyDescent="0.2">
      <c r="B209" s="345"/>
      <c r="C209" s="328"/>
      <c r="D209" s="328"/>
      <c r="E209" s="328"/>
      <c r="F209" s="328"/>
      <c r="G209" s="328"/>
      <c r="H209" s="328"/>
      <c r="I209" s="328"/>
      <c r="J209" s="328"/>
      <c r="K209" s="328"/>
      <c r="L209" s="328"/>
      <c r="M209" s="328"/>
      <c r="N209" s="328"/>
    </row>
    <row r="210" spans="2:14" x14ac:dyDescent="0.2">
      <c r="B210" s="349"/>
      <c r="C210" s="328"/>
      <c r="D210" s="328"/>
      <c r="E210" s="328"/>
      <c r="F210" s="328"/>
      <c r="G210" s="328"/>
      <c r="H210" s="328"/>
      <c r="I210" s="328"/>
      <c r="J210" s="328"/>
      <c r="K210" s="328"/>
      <c r="L210" s="328"/>
      <c r="M210" s="328"/>
      <c r="N210" s="328"/>
    </row>
    <row r="211" spans="2:14" x14ac:dyDescent="0.2">
      <c r="B211" s="349"/>
      <c r="C211" s="328"/>
      <c r="D211" s="328"/>
      <c r="E211" s="328"/>
      <c r="F211" s="328"/>
      <c r="G211" s="328"/>
      <c r="H211" s="328"/>
      <c r="I211" s="328"/>
      <c r="J211" s="328"/>
      <c r="K211" s="328"/>
      <c r="L211" s="328"/>
      <c r="M211" s="328"/>
      <c r="N211" s="328"/>
    </row>
    <row r="212" spans="2:14" x14ac:dyDescent="0.2">
      <c r="B212" s="349"/>
      <c r="C212" s="328"/>
      <c r="D212" s="328"/>
      <c r="E212" s="328"/>
      <c r="F212" s="328"/>
      <c r="G212" s="328"/>
      <c r="H212" s="328"/>
      <c r="I212" s="328"/>
      <c r="J212" s="328"/>
      <c r="K212" s="328"/>
      <c r="L212" s="328"/>
      <c r="M212" s="328"/>
      <c r="N212" s="328"/>
    </row>
    <row r="213" spans="2:14" x14ac:dyDescent="0.2">
      <c r="B213" s="349"/>
      <c r="C213" s="328"/>
      <c r="D213" s="328"/>
      <c r="E213" s="328"/>
      <c r="F213" s="328"/>
      <c r="G213" s="328"/>
      <c r="H213" s="328"/>
      <c r="I213" s="328"/>
      <c r="J213" s="328"/>
      <c r="K213" s="328"/>
      <c r="L213" s="328"/>
      <c r="M213" s="328"/>
      <c r="N213" s="328"/>
    </row>
    <row r="214" spans="2:14" x14ac:dyDescent="0.2">
      <c r="B214" s="349"/>
      <c r="C214" s="328"/>
      <c r="D214" s="328"/>
      <c r="E214" s="328"/>
      <c r="F214" s="328"/>
      <c r="G214" s="328"/>
      <c r="H214" s="328"/>
      <c r="I214" s="328"/>
      <c r="J214" s="328"/>
      <c r="K214" s="328"/>
      <c r="L214" s="328"/>
      <c r="M214" s="328"/>
      <c r="N214" s="328"/>
    </row>
    <row r="215" spans="2:14" x14ac:dyDescent="0.2">
      <c r="B215" s="349"/>
      <c r="C215" s="328"/>
      <c r="D215" s="328"/>
      <c r="E215" s="328"/>
      <c r="F215" s="328"/>
      <c r="G215" s="328"/>
      <c r="H215" s="328"/>
      <c r="I215" s="328"/>
      <c r="J215" s="328"/>
      <c r="K215" s="328"/>
      <c r="L215" s="328"/>
      <c r="M215" s="328"/>
      <c r="N215" s="328"/>
    </row>
    <row r="216" spans="2:14" x14ac:dyDescent="0.2">
      <c r="B216" s="349"/>
      <c r="C216" s="328"/>
      <c r="D216" s="328"/>
      <c r="E216" s="328"/>
      <c r="F216" s="328"/>
      <c r="G216" s="328"/>
      <c r="H216" s="328"/>
      <c r="I216" s="328"/>
      <c r="J216" s="328"/>
      <c r="K216" s="328"/>
      <c r="L216" s="328"/>
      <c r="M216" s="328"/>
      <c r="N216" s="328"/>
    </row>
    <row r="217" spans="2:14" x14ac:dyDescent="0.2">
      <c r="B217" s="349"/>
      <c r="C217" s="328"/>
      <c r="D217" s="328"/>
      <c r="E217" s="328"/>
      <c r="F217" s="328"/>
      <c r="G217" s="328"/>
      <c r="H217" s="328"/>
      <c r="I217" s="328"/>
      <c r="J217" s="328"/>
      <c r="K217" s="328"/>
      <c r="L217" s="328"/>
      <c r="M217" s="328"/>
      <c r="N217" s="328"/>
    </row>
    <row r="218" spans="2:14" x14ac:dyDescent="0.2">
      <c r="B218" s="349"/>
      <c r="C218" s="328"/>
      <c r="D218" s="328"/>
      <c r="E218" s="328"/>
      <c r="F218" s="328"/>
      <c r="G218" s="328"/>
      <c r="H218" s="328"/>
      <c r="I218" s="328"/>
      <c r="J218" s="328"/>
      <c r="K218" s="328"/>
      <c r="L218" s="328"/>
      <c r="M218" s="328"/>
      <c r="N218" s="328"/>
    </row>
    <row r="219" spans="2:14" x14ac:dyDescent="0.2">
      <c r="B219" s="350"/>
      <c r="C219" s="328"/>
      <c r="D219" s="328"/>
      <c r="E219" s="328"/>
      <c r="F219" s="328"/>
      <c r="G219" s="328"/>
      <c r="H219" s="328"/>
      <c r="I219" s="328"/>
      <c r="J219" s="328"/>
      <c r="K219" s="328"/>
      <c r="L219" s="328"/>
      <c r="M219" s="328"/>
      <c r="N219" s="328"/>
    </row>
    <row r="220" spans="2:14" x14ac:dyDescent="0.2">
      <c r="B220" s="349"/>
      <c r="C220" s="328"/>
      <c r="D220" s="328"/>
      <c r="E220" s="328"/>
      <c r="F220" s="328"/>
      <c r="G220" s="328"/>
      <c r="H220" s="328"/>
      <c r="I220" s="328"/>
      <c r="J220" s="328"/>
      <c r="K220" s="328"/>
      <c r="L220" s="328"/>
      <c r="M220" s="328"/>
      <c r="N220" s="328"/>
    </row>
    <row r="221" spans="2:14" x14ac:dyDescent="0.2">
      <c r="B221" s="349"/>
      <c r="C221" s="328"/>
      <c r="D221" s="328"/>
      <c r="E221" s="328"/>
      <c r="F221" s="328"/>
      <c r="G221" s="328"/>
      <c r="H221" s="328"/>
      <c r="I221" s="328"/>
      <c r="J221" s="328"/>
      <c r="K221" s="328"/>
      <c r="L221" s="328"/>
      <c r="M221" s="328"/>
      <c r="N221" s="328"/>
    </row>
    <row r="222" spans="2:14" x14ac:dyDescent="0.2">
      <c r="B222" s="349"/>
      <c r="C222" s="328"/>
      <c r="D222" s="328"/>
      <c r="E222" s="328"/>
      <c r="F222" s="328"/>
      <c r="G222" s="328"/>
      <c r="H222" s="328"/>
      <c r="I222" s="328"/>
      <c r="J222" s="328"/>
      <c r="K222" s="328"/>
      <c r="L222" s="328"/>
      <c r="M222" s="328"/>
      <c r="N222" s="328"/>
    </row>
    <row r="223" spans="2:14" x14ac:dyDescent="0.2">
      <c r="B223" s="349"/>
      <c r="C223" s="328"/>
      <c r="D223" s="328"/>
      <c r="E223" s="328"/>
      <c r="F223" s="328"/>
      <c r="G223" s="328"/>
      <c r="H223" s="328"/>
      <c r="I223" s="328"/>
      <c r="J223" s="328"/>
      <c r="K223" s="328"/>
      <c r="L223" s="328"/>
      <c r="M223" s="328"/>
      <c r="N223" s="328"/>
    </row>
    <row r="224" spans="2:14" x14ac:dyDescent="0.2">
      <c r="B224" s="349"/>
      <c r="C224" s="328"/>
      <c r="D224" s="328"/>
      <c r="E224" s="328"/>
      <c r="F224" s="328"/>
      <c r="G224" s="328"/>
      <c r="H224" s="328"/>
      <c r="I224" s="328"/>
      <c r="J224" s="328"/>
      <c r="K224" s="328"/>
      <c r="L224" s="328"/>
      <c r="M224" s="328"/>
      <c r="N224" s="328"/>
    </row>
    <row r="225" spans="1:14" x14ac:dyDescent="0.2">
      <c r="B225" s="349"/>
      <c r="C225" s="328"/>
      <c r="D225" s="328"/>
      <c r="E225" s="328"/>
      <c r="F225" s="328"/>
      <c r="G225" s="328"/>
      <c r="H225" s="328"/>
      <c r="I225" s="328"/>
      <c r="J225" s="328"/>
      <c r="K225" s="328"/>
      <c r="L225" s="328"/>
      <c r="M225" s="328"/>
      <c r="N225" s="328"/>
    </row>
    <row r="226" spans="1:14" x14ac:dyDescent="0.2">
      <c r="B226" s="344"/>
      <c r="C226" s="334"/>
      <c r="D226" s="334"/>
      <c r="E226" s="334"/>
      <c r="F226" s="334"/>
      <c r="G226" s="334"/>
      <c r="H226" s="334"/>
      <c r="I226" s="334"/>
      <c r="J226" s="334"/>
      <c r="K226" s="334"/>
      <c r="L226" s="334"/>
      <c r="M226" s="334"/>
      <c r="N226" s="334"/>
    </row>
    <row r="227" spans="1:14" x14ac:dyDescent="0.2">
      <c r="B227" s="345"/>
      <c r="C227" s="334"/>
      <c r="D227" s="334"/>
      <c r="E227" s="334"/>
      <c r="F227" s="334"/>
      <c r="G227" s="334"/>
      <c r="H227" s="334"/>
      <c r="I227" s="334"/>
      <c r="J227" s="334"/>
      <c r="K227" s="334"/>
      <c r="L227" s="334"/>
      <c r="M227" s="334"/>
      <c r="N227" s="334"/>
    </row>
    <row r="228" spans="1:14" x14ac:dyDescent="0.2">
      <c r="B228" s="349"/>
      <c r="C228" s="328"/>
      <c r="D228" s="328"/>
      <c r="E228" s="328"/>
      <c r="F228" s="328"/>
      <c r="G228" s="328"/>
      <c r="H228" s="328"/>
      <c r="I228" s="328"/>
      <c r="J228" s="328"/>
      <c r="K228" s="328"/>
      <c r="L228" s="328"/>
      <c r="M228" s="328"/>
      <c r="N228" s="328"/>
    </row>
    <row r="229" spans="1:14" x14ac:dyDescent="0.2">
      <c r="B229" s="344"/>
      <c r="C229" s="334"/>
      <c r="D229" s="334"/>
      <c r="E229" s="334"/>
      <c r="F229" s="334"/>
      <c r="G229" s="334"/>
      <c r="H229" s="334"/>
      <c r="I229" s="334"/>
      <c r="J229" s="334"/>
      <c r="K229" s="334"/>
      <c r="L229" s="334"/>
      <c r="M229" s="334"/>
      <c r="N229" s="334"/>
    </row>
    <row r="230" spans="1:14" x14ac:dyDescent="0.2">
      <c r="A230" s="335"/>
      <c r="B230" s="345"/>
      <c r="C230" s="328"/>
      <c r="D230" s="328"/>
      <c r="E230" s="328"/>
      <c r="F230" s="328"/>
      <c r="G230" s="328"/>
      <c r="H230" s="328"/>
      <c r="I230" s="328"/>
      <c r="J230" s="328"/>
      <c r="K230" s="328"/>
      <c r="L230" s="328"/>
      <c r="M230" s="328"/>
      <c r="N230" s="328"/>
    </row>
    <row r="231" spans="1:14" x14ac:dyDescent="0.2">
      <c r="A231" s="333"/>
      <c r="B231" s="349"/>
      <c r="C231" s="328"/>
      <c r="D231" s="328"/>
      <c r="E231" s="328"/>
      <c r="F231" s="328"/>
      <c r="G231" s="328"/>
      <c r="H231" s="328"/>
      <c r="I231" s="328"/>
      <c r="J231" s="328"/>
      <c r="K231" s="328"/>
      <c r="L231" s="328"/>
      <c r="M231" s="328"/>
      <c r="N231" s="328"/>
    </row>
    <row r="232" spans="1:14" x14ac:dyDescent="0.2">
      <c r="A232" s="333"/>
      <c r="B232" s="349"/>
      <c r="C232" s="328"/>
      <c r="D232" s="328"/>
      <c r="E232" s="328"/>
      <c r="F232" s="328"/>
      <c r="G232" s="328"/>
      <c r="H232" s="328"/>
      <c r="I232" s="328"/>
      <c r="J232" s="328"/>
      <c r="K232" s="328"/>
      <c r="L232" s="328"/>
      <c r="M232" s="328"/>
      <c r="N232" s="328"/>
    </row>
    <row r="233" spans="1:14" x14ac:dyDescent="0.2">
      <c r="A233" s="333"/>
      <c r="B233" s="349"/>
      <c r="C233" s="328"/>
      <c r="D233" s="328"/>
      <c r="E233" s="328"/>
      <c r="F233" s="328"/>
      <c r="G233" s="328"/>
      <c r="H233" s="328"/>
      <c r="I233" s="328"/>
      <c r="J233" s="328"/>
      <c r="K233" s="328"/>
      <c r="L233" s="328"/>
      <c r="M233" s="328"/>
      <c r="N233" s="328"/>
    </row>
    <row r="234" spans="1:14" x14ac:dyDescent="0.2">
      <c r="A234" s="333"/>
      <c r="B234" s="349"/>
      <c r="C234" s="328"/>
      <c r="D234" s="328"/>
      <c r="E234" s="328"/>
      <c r="F234" s="328"/>
      <c r="G234" s="328"/>
      <c r="H234" s="328"/>
      <c r="I234" s="328"/>
      <c r="J234" s="328"/>
      <c r="K234" s="328"/>
      <c r="L234" s="328"/>
      <c r="M234" s="328"/>
      <c r="N234" s="328"/>
    </row>
    <row r="235" spans="1:14" x14ac:dyDescent="0.2">
      <c r="A235" s="333"/>
      <c r="B235" s="349"/>
      <c r="C235" s="328"/>
      <c r="D235" s="328"/>
      <c r="E235" s="328"/>
      <c r="F235" s="328"/>
      <c r="G235" s="328"/>
      <c r="H235" s="328"/>
      <c r="I235" s="328"/>
      <c r="J235" s="328"/>
      <c r="K235" s="328"/>
      <c r="L235" s="328"/>
      <c r="M235" s="328"/>
      <c r="N235" s="328"/>
    </row>
    <row r="236" spans="1:14" x14ac:dyDescent="0.2">
      <c r="A236" s="333"/>
      <c r="B236" s="349"/>
      <c r="C236" s="328"/>
      <c r="D236" s="328"/>
      <c r="E236" s="328"/>
      <c r="F236" s="328"/>
      <c r="G236" s="328"/>
      <c r="H236" s="328"/>
      <c r="I236" s="328"/>
      <c r="J236" s="328"/>
      <c r="K236" s="328"/>
      <c r="L236" s="328"/>
      <c r="M236" s="328"/>
      <c r="N236" s="328"/>
    </row>
    <row r="237" spans="1:14" x14ac:dyDescent="0.2">
      <c r="A237" s="333"/>
      <c r="B237" s="349"/>
      <c r="C237" s="328"/>
      <c r="D237" s="328"/>
      <c r="E237" s="328"/>
      <c r="F237" s="328"/>
      <c r="G237" s="328"/>
      <c r="H237" s="328"/>
      <c r="I237" s="328"/>
      <c r="J237" s="328"/>
      <c r="K237" s="328"/>
      <c r="L237" s="328"/>
      <c r="M237" s="328"/>
      <c r="N237" s="328"/>
    </row>
    <row r="238" spans="1:14" x14ac:dyDescent="0.2">
      <c r="A238" s="333"/>
      <c r="B238" s="349"/>
      <c r="C238" s="328"/>
      <c r="D238" s="328"/>
      <c r="E238" s="328"/>
      <c r="F238" s="328"/>
      <c r="G238" s="328"/>
      <c r="H238" s="328"/>
      <c r="I238" s="328"/>
      <c r="J238" s="328"/>
      <c r="K238" s="328"/>
      <c r="L238" s="328"/>
      <c r="M238" s="328"/>
      <c r="N238" s="328"/>
    </row>
    <row r="239" spans="1:14" x14ac:dyDescent="0.2">
      <c r="A239" s="333"/>
      <c r="B239" s="349"/>
      <c r="C239" s="328"/>
      <c r="D239" s="328"/>
      <c r="E239" s="328"/>
      <c r="F239" s="328"/>
      <c r="G239" s="328"/>
      <c r="H239" s="328"/>
      <c r="I239" s="328"/>
      <c r="J239" s="328"/>
      <c r="K239" s="328"/>
      <c r="L239" s="328"/>
      <c r="M239" s="328"/>
      <c r="N239" s="328"/>
    </row>
    <row r="240" spans="1:14" x14ac:dyDescent="0.2">
      <c r="A240" s="333"/>
      <c r="B240" s="350"/>
      <c r="C240" s="328"/>
      <c r="D240" s="328"/>
      <c r="E240" s="328"/>
      <c r="F240" s="328"/>
      <c r="G240" s="328"/>
      <c r="H240" s="328"/>
      <c r="I240" s="328"/>
      <c r="J240" s="328"/>
      <c r="K240" s="328"/>
      <c r="L240" s="328"/>
      <c r="M240" s="328"/>
      <c r="N240" s="328"/>
    </row>
    <row r="241" spans="1:14" x14ac:dyDescent="0.2">
      <c r="A241" s="333"/>
      <c r="B241" s="349"/>
      <c r="C241" s="328"/>
      <c r="D241" s="328"/>
      <c r="E241" s="328"/>
      <c r="F241" s="328"/>
      <c r="G241" s="328"/>
      <c r="H241" s="328"/>
      <c r="I241" s="328"/>
      <c r="J241" s="328"/>
      <c r="K241" s="328"/>
      <c r="L241" s="328"/>
      <c r="M241" s="328"/>
      <c r="N241" s="328"/>
    </row>
    <row r="242" spans="1:14" x14ac:dyDescent="0.2">
      <c r="A242" s="333"/>
      <c r="B242" s="349"/>
      <c r="C242" s="328"/>
      <c r="D242" s="328"/>
      <c r="E242" s="328"/>
      <c r="F242" s="328"/>
      <c r="G242" s="328"/>
      <c r="H242" s="328"/>
      <c r="I242" s="328"/>
      <c r="J242" s="328"/>
      <c r="K242" s="328"/>
      <c r="L242" s="328"/>
      <c r="M242" s="328"/>
      <c r="N242" s="328"/>
    </row>
    <row r="243" spans="1:14" x14ac:dyDescent="0.2">
      <c r="A243" s="333"/>
      <c r="B243" s="349"/>
      <c r="C243" s="328"/>
      <c r="D243" s="328"/>
      <c r="E243" s="328"/>
      <c r="F243" s="328"/>
      <c r="G243" s="328"/>
      <c r="H243" s="328"/>
      <c r="I243" s="328"/>
      <c r="J243" s="328"/>
      <c r="K243" s="328"/>
      <c r="L243" s="328"/>
      <c r="M243" s="328"/>
      <c r="N243" s="328"/>
    </row>
    <row r="244" spans="1:14" x14ac:dyDescent="0.2">
      <c r="A244" s="333"/>
      <c r="B244" s="349"/>
      <c r="C244" s="328"/>
      <c r="D244" s="328"/>
      <c r="E244" s="328"/>
      <c r="F244" s="328"/>
      <c r="G244" s="328"/>
      <c r="H244" s="328"/>
      <c r="I244" s="328"/>
      <c r="J244" s="328"/>
      <c r="K244" s="328"/>
      <c r="L244" s="328"/>
      <c r="M244" s="328"/>
      <c r="N244" s="328"/>
    </row>
    <row r="245" spans="1:14" x14ac:dyDescent="0.2">
      <c r="A245" s="333"/>
      <c r="B245" s="349"/>
      <c r="C245" s="328"/>
      <c r="D245" s="328"/>
      <c r="E245" s="328"/>
      <c r="F245" s="328"/>
      <c r="G245" s="328"/>
      <c r="H245" s="328"/>
      <c r="I245" s="328"/>
      <c r="J245" s="328"/>
      <c r="K245" s="328"/>
      <c r="L245" s="328"/>
      <c r="M245" s="328"/>
      <c r="N245" s="328"/>
    </row>
    <row r="246" spans="1:14" x14ac:dyDescent="0.2">
      <c r="A246" s="333"/>
      <c r="B246" s="349"/>
      <c r="C246" s="328"/>
      <c r="D246" s="328"/>
      <c r="E246" s="328"/>
      <c r="F246" s="328"/>
      <c r="G246" s="328"/>
      <c r="H246" s="328"/>
      <c r="I246" s="328"/>
      <c r="J246" s="328"/>
      <c r="K246" s="328"/>
      <c r="L246" s="328"/>
      <c r="M246" s="328"/>
      <c r="N246" s="328"/>
    </row>
    <row r="247" spans="1:14" x14ac:dyDescent="0.2">
      <c r="B247" s="344"/>
      <c r="C247" s="334"/>
      <c r="D247" s="334"/>
      <c r="E247" s="334"/>
      <c r="F247" s="334"/>
      <c r="G247" s="334"/>
      <c r="H247" s="334"/>
      <c r="I247" s="334"/>
      <c r="J247" s="334"/>
      <c r="K247" s="334"/>
      <c r="L247" s="334"/>
      <c r="M247" s="334"/>
      <c r="N247" s="334"/>
    </row>
    <row r="248" spans="1:14" x14ac:dyDescent="0.2">
      <c r="A248" s="335"/>
      <c r="B248" s="345"/>
      <c r="C248" s="328"/>
      <c r="D248" s="328"/>
      <c r="E248" s="328"/>
      <c r="F248" s="328"/>
      <c r="G248" s="328"/>
      <c r="H248" s="328"/>
      <c r="I248" s="328"/>
      <c r="J248" s="328"/>
      <c r="K248" s="328"/>
      <c r="L248" s="328"/>
      <c r="M248" s="328"/>
      <c r="N248" s="328"/>
    </row>
    <row r="249" spans="1:14" x14ac:dyDescent="0.2">
      <c r="B249" s="349"/>
      <c r="C249" s="328"/>
      <c r="D249" s="328"/>
      <c r="E249" s="328"/>
      <c r="F249" s="328"/>
      <c r="G249" s="328"/>
      <c r="H249" s="328"/>
      <c r="I249" s="328"/>
      <c r="J249" s="328"/>
      <c r="K249" s="328"/>
      <c r="L249" s="328"/>
      <c r="M249" s="328"/>
      <c r="N249" s="328"/>
    </row>
    <row r="250" spans="1:14" x14ac:dyDescent="0.2">
      <c r="B250" s="349"/>
      <c r="C250" s="328"/>
      <c r="D250" s="328"/>
      <c r="E250" s="328"/>
      <c r="F250" s="328"/>
      <c r="G250" s="328"/>
      <c r="H250" s="328"/>
      <c r="I250" s="328"/>
      <c r="J250" s="328"/>
      <c r="K250" s="328"/>
      <c r="L250" s="328"/>
      <c r="M250" s="328"/>
      <c r="N250" s="328"/>
    </row>
    <row r="251" spans="1:14" x14ac:dyDescent="0.2">
      <c r="B251" s="349"/>
      <c r="C251" s="328"/>
      <c r="D251" s="328"/>
      <c r="E251" s="328"/>
      <c r="F251" s="328"/>
      <c r="G251" s="328"/>
      <c r="H251" s="328"/>
      <c r="I251" s="328"/>
      <c r="J251" s="328"/>
      <c r="K251" s="328"/>
      <c r="L251" s="328"/>
      <c r="M251" s="328"/>
      <c r="N251" s="328"/>
    </row>
    <row r="252" spans="1:14" x14ac:dyDescent="0.2">
      <c r="B252" s="349"/>
      <c r="C252" s="328"/>
      <c r="D252" s="328"/>
      <c r="E252" s="328"/>
      <c r="F252" s="328"/>
      <c r="G252" s="328"/>
      <c r="H252" s="328"/>
      <c r="I252" s="328"/>
      <c r="J252" s="328"/>
      <c r="K252" s="328"/>
      <c r="L252" s="328"/>
      <c r="M252" s="328"/>
      <c r="N252" s="328"/>
    </row>
    <row r="253" spans="1:14" x14ac:dyDescent="0.2">
      <c r="B253" s="349"/>
      <c r="C253" s="328"/>
      <c r="D253" s="328"/>
      <c r="E253" s="328"/>
      <c r="F253" s="328"/>
      <c r="G253" s="328"/>
      <c r="H253" s="328"/>
      <c r="I253" s="328"/>
      <c r="J253" s="328"/>
      <c r="K253" s="328"/>
      <c r="L253" s="328"/>
      <c r="M253" s="328"/>
      <c r="N253" s="328"/>
    </row>
    <row r="254" spans="1:14" x14ac:dyDescent="0.2">
      <c r="B254" s="349"/>
      <c r="C254" s="328"/>
      <c r="D254" s="328"/>
      <c r="E254" s="328"/>
      <c r="F254" s="328"/>
      <c r="G254" s="328"/>
      <c r="H254" s="328"/>
      <c r="I254" s="328"/>
      <c r="J254" s="328"/>
      <c r="K254" s="328"/>
      <c r="L254" s="328"/>
      <c r="M254" s="328"/>
      <c r="N254" s="328"/>
    </row>
    <row r="255" spans="1:14" x14ac:dyDescent="0.2">
      <c r="B255" s="349"/>
      <c r="C255" s="328"/>
      <c r="D255" s="328"/>
      <c r="E255" s="328"/>
      <c r="F255" s="328"/>
      <c r="G255" s="328"/>
      <c r="H255" s="328"/>
      <c r="I255" s="328"/>
      <c r="J255" s="328"/>
      <c r="K255" s="328"/>
      <c r="L255" s="328"/>
      <c r="M255" s="328"/>
      <c r="N255" s="328"/>
    </row>
    <row r="256" spans="1:14" x14ac:dyDescent="0.2">
      <c r="B256" s="349"/>
      <c r="C256" s="328"/>
      <c r="D256" s="328"/>
      <c r="E256" s="328"/>
      <c r="F256" s="328"/>
      <c r="G256" s="328"/>
      <c r="H256" s="328"/>
      <c r="I256" s="328"/>
      <c r="J256" s="328"/>
      <c r="K256" s="328"/>
      <c r="L256" s="328"/>
      <c r="M256" s="328"/>
      <c r="N256" s="328"/>
    </row>
    <row r="257" spans="1:14" x14ac:dyDescent="0.2">
      <c r="B257" s="349"/>
      <c r="C257" s="328"/>
      <c r="D257" s="328"/>
      <c r="E257" s="328"/>
      <c r="F257" s="328"/>
      <c r="G257" s="328"/>
      <c r="H257" s="328"/>
      <c r="I257" s="328"/>
      <c r="J257" s="328"/>
      <c r="K257" s="328"/>
      <c r="L257" s="328"/>
      <c r="M257" s="328"/>
      <c r="N257" s="328"/>
    </row>
    <row r="258" spans="1:14" x14ac:dyDescent="0.2">
      <c r="B258" s="350"/>
      <c r="C258" s="328"/>
      <c r="D258" s="328"/>
      <c r="E258" s="328"/>
      <c r="F258" s="328"/>
      <c r="G258" s="328"/>
      <c r="H258" s="328"/>
      <c r="I258" s="328"/>
      <c r="J258" s="328"/>
      <c r="K258" s="328"/>
      <c r="L258" s="328"/>
      <c r="M258" s="328"/>
      <c r="N258" s="328"/>
    </row>
    <row r="259" spans="1:14" x14ac:dyDescent="0.2">
      <c r="B259" s="349"/>
      <c r="C259" s="328"/>
      <c r="D259" s="328"/>
      <c r="E259" s="328"/>
      <c r="F259" s="328"/>
      <c r="G259" s="328"/>
      <c r="H259" s="328"/>
      <c r="I259" s="328"/>
      <c r="J259" s="328"/>
      <c r="K259" s="328"/>
      <c r="L259" s="328"/>
      <c r="M259" s="328"/>
      <c r="N259" s="328"/>
    </row>
    <row r="260" spans="1:14" x14ac:dyDescent="0.2">
      <c r="B260" s="349"/>
      <c r="C260" s="328"/>
      <c r="D260" s="328"/>
      <c r="E260" s="328"/>
      <c r="F260" s="328"/>
      <c r="G260" s="328"/>
      <c r="H260" s="328"/>
      <c r="I260" s="328"/>
      <c r="J260" s="328"/>
      <c r="K260" s="328"/>
      <c r="L260" s="328"/>
      <c r="M260" s="328"/>
      <c r="N260" s="328"/>
    </row>
    <row r="261" spans="1:14" x14ac:dyDescent="0.2">
      <c r="B261" s="349"/>
      <c r="C261" s="328"/>
      <c r="D261" s="328"/>
      <c r="E261" s="328"/>
      <c r="F261" s="328"/>
      <c r="G261" s="328"/>
      <c r="H261" s="328"/>
      <c r="I261" s="328"/>
      <c r="J261" s="328"/>
      <c r="K261" s="328"/>
      <c r="L261" s="328"/>
      <c r="M261" s="328"/>
      <c r="N261" s="328"/>
    </row>
    <row r="262" spans="1:14" x14ac:dyDescent="0.2">
      <c r="B262" s="349"/>
      <c r="C262" s="328"/>
      <c r="D262" s="328"/>
      <c r="E262" s="328"/>
      <c r="F262" s="328"/>
      <c r="G262" s="328"/>
      <c r="H262" s="328"/>
      <c r="I262" s="328"/>
      <c r="J262" s="328"/>
      <c r="K262" s="328"/>
      <c r="L262" s="328"/>
      <c r="M262" s="328"/>
      <c r="N262" s="328"/>
    </row>
    <row r="263" spans="1:14" x14ac:dyDescent="0.2">
      <c r="B263" s="349"/>
      <c r="C263" s="328"/>
      <c r="D263" s="328"/>
      <c r="E263" s="328"/>
      <c r="F263" s="328"/>
      <c r="G263" s="328"/>
      <c r="H263" s="328"/>
      <c r="I263" s="328"/>
      <c r="J263" s="328"/>
      <c r="K263" s="328"/>
      <c r="L263" s="328"/>
      <c r="M263" s="328"/>
      <c r="N263" s="328"/>
    </row>
    <row r="264" spans="1:14" x14ac:dyDescent="0.2">
      <c r="B264" s="349"/>
      <c r="C264" s="328"/>
      <c r="D264" s="328"/>
      <c r="E264" s="328"/>
      <c r="F264" s="328"/>
      <c r="G264" s="328"/>
      <c r="H264" s="328"/>
      <c r="I264" s="328"/>
      <c r="J264" s="328"/>
      <c r="K264" s="328"/>
      <c r="L264" s="328"/>
      <c r="M264" s="328"/>
      <c r="N264" s="328"/>
    </row>
    <row r="265" spans="1:14" x14ac:dyDescent="0.2">
      <c r="B265" s="344"/>
      <c r="C265" s="334"/>
      <c r="D265" s="334"/>
      <c r="E265" s="334"/>
      <c r="F265" s="334"/>
      <c r="G265" s="334"/>
      <c r="H265" s="334"/>
      <c r="I265" s="334"/>
      <c r="J265" s="334"/>
      <c r="K265" s="334"/>
      <c r="L265" s="334"/>
      <c r="M265" s="334"/>
      <c r="N265" s="334"/>
    </row>
    <row r="266" spans="1:14" x14ac:dyDescent="0.2">
      <c r="A266" s="335"/>
      <c r="B266" s="345"/>
      <c r="C266" s="334"/>
      <c r="D266" s="334"/>
      <c r="E266" s="334"/>
      <c r="F266" s="334"/>
      <c r="G266" s="334"/>
      <c r="H266" s="334"/>
      <c r="I266" s="334"/>
      <c r="J266" s="334"/>
      <c r="K266" s="334"/>
      <c r="L266" s="334"/>
      <c r="M266" s="334"/>
      <c r="N266" s="334"/>
    </row>
    <row r="267" spans="1:14" x14ac:dyDescent="0.2">
      <c r="B267" s="349"/>
      <c r="C267" s="328"/>
      <c r="D267" s="328"/>
      <c r="E267" s="328"/>
      <c r="F267" s="328"/>
      <c r="G267" s="328"/>
      <c r="H267" s="328"/>
      <c r="I267" s="328"/>
      <c r="J267" s="328"/>
      <c r="K267" s="328"/>
      <c r="L267" s="328"/>
      <c r="M267" s="328"/>
      <c r="N267" s="328"/>
    </row>
    <row r="268" spans="1:14" x14ac:dyDescent="0.2">
      <c r="B268" s="344"/>
      <c r="C268" s="334"/>
      <c r="D268" s="334"/>
      <c r="E268" s="334"/>
      <c r="F268" s="334"/>
      <c r="G268" s="334"/>
      <c r="H268" s="334"/>
      <c r="I268" s="334"/>
      <c r="J268" s="334"/>
      <c r="K268" s="334"/>
      <c r="L268" s="334"/>
      <c r="M268" s="334"/>
      <c r="N268" s="334"/>
    </row>
    <row r="269" spans="1:14" ht="18.75" x14ac:dyDescent="0.2">
      <c r="A269" s="339"/>
      <c r="B269" s="346"/>
      <c r="C269" s="332"/>
      <c r="D269" s="332"/>
      <c r="E269" s="332"/>
      <c r="F269" s="332"/>
      <c r="G269" s="332"/>
      <c r="H269" s="332"/>
      <c r="I269" s="332"/>
      <c r="J269" s="332"/>
      <c r="K269" s="332"/>
      <c r="L269" s="332"/>
      <c r="M269" s="332"/>
      <c r="N269" s="332"/>
    </row>
    <row r="270" spans="1:14" ht="18.75" x14ac:dyDescent="0.2">
      <c r="A270" s="336"/>
      <c r="B270" s="344"/>
      <c r="C270" s="332"/>
      <c r="D270" s="332"/>
      <c r="E270" s="332"/>
      <c r="F270" s="332"/>
      <c r="G270" s="332"/>
      <c r="H270" s="332"/>
      <c r="I270" s="332"/>
      <c r="J270" s="332"/>
      <c r="K270" s="332"/>
      <c r="L270" s="332"/>
      <c r="M270" s="332"/>
      <c r="N270" s="332"/>
    </row>
    <row r="271" spans="1:14" x14ac:dyDescent="0.2">
      <c r="A271" s="333"/>
      <c r="B271" s="349"/>
      <c r="C271" s="340"/>
      <c r="D271" s="340"/>
      <c r="E271" s="340"/>
      <c r="F271" s="340"/>
      <c r="G271" s="340"/>
      <c r="H271" s="340"/>
      <c r="I271" s="340"/>
      <c r="J271" s="340"/>
      <c r="K271" s="340"/>
      <c r="L271" s="340"/>
      <c r="M271" s="340"/>
      <c r="N271" s="340"/>
    </row>
    <row r="272" spans="1:14" x14ac:dyDescent="0.2">
      <c r="A272" s="333"/>
      <c r="B272" s="349"/>
      <c r="C272" s="340"/>
      <c r="D272" s="340"/>
      <c r="E272" s="340"/>
      <c r="F272" s="340"/>
      <c r="G272" s="340"/>
      <c r="H272" s="340"/>
      <c r="I272" s="340"/>
      <c r="J272" s="340"/>
      <c r="K272" s="340"/>
      <c r="L272" s="340"/>
      <c r="M272" s="340"/>
      <c r="N272" s="340"/>
    </row>
    <row r="273" spans="1:14" x14ac:dyDescent="0.2">
      <c r="A273" s="333"/>
      <c r="B273" s="349"/>
      <c r="C273" s="340"/>
      <c r="D273" s="340"/>
      <c r="E273" s="340"/>
      <c r="F273" s="340"/>
      <c r="G273" s="340"/>
      <c r="H273" s="340"/>
      <c r="I273" s="340"/>
      <c r="J273" s="340"/>
      <c r="K273" s="340"/>
      <c r="L273" s="340"/>
      <c r="M273" s="340"/>
      <c r="N273" s="340"/>
    </row>
    <row r="274" spans="1:14" x14ac:dyDescent="0.2">
      <c r="A274" s="333"/>
      <c r="B274" s="349"/>
      <c r="C274" s="340"/>
      <c r="D274" s="340"/>
      <c r="E274" s="340"/>
      <c r="F274" s="340"/>
      <c r="G274" s="340"/>
      <c r="H274" s="340"/>
      <c r="I274" s="340"/>
      <c r="J274" s="340"/>
      <c r="K274" s="340"/>
      <c r="L274" s="340"/>
      <c r="M274" s="340"/>
      <c r="N274" s="340"/>
    </row>
    <row r="275" spans="1:14" x14ac:dyDescent="0.2">
      <c r="A275" s="333"/>
      <c r="B275" s="349"/>
      <c r="C275" s="340"/>
      <c r="D275" s="340"/>
      <c r="E275" s="340"/>
      <c r="F275" s="340"/>
      <c r="G275" s="340"/>
      <c r="H275" s="340"/>
      <c r="I275" s="340"/>
      <c r="J275" s="340"/>
      <c r="K275" s="340"/>
      <c r="L275" s="340"/>
      <c r="M275" s="340"/>
      <c r="N275" s="340"/>
    </row>
    <row r="276" spans="1:14" x14ac:dyDescent="0.2">
      <c r="A276" s="333"/>
      <c r="B276" s="349"/>
      <c r="C276" s="340"/>
      <c r="D276" s="340"/>
      <c r="E276" s="340"/>
      <c r="F276" s="340"/>
      <c r="G276" s="340"/>
      <c r="H276" s="340"/>
      <c r="I276" s="340"/>
      <c r="J276" s="340"/>
      <c r="K276" s="340"/>
      <c r="L276" s="340"/>
      <c r="M276" s="340"/>
      <c r="N276" s="340"/>
    </row>
    <row r="277" spans="1:14" x14ac:dyDescent="0.2">
      <c r="A277" s="333"/>
      <c r="B277" s="349"/>
      <c r="C277" s="340"/>
      <c r="D277" s="340"/>
      <c r="E277" s="340"/>
      <c r="F277" s="340"/>
      <c r="G277" s="340"/>
      <c r="H277" s="340"/>
      <c r="I277" s="340"/>
      <c r="J277" s="340"/>
      <c r="K277" s="340"/>
      <c r="L277" s="340"/>
      <c r="M277" s="340"/>
      <c r="N277" s="340"/>
    </row>
    <row r="278" spans="1:14" x14ac:dyDescent="0.2">
      <c r="A278" s="333"/>
      <c r="B278" s="349"/>
      <c r="C278" s="340"/>
      <c r="D278" s="340"/>
      <c r="E278" s="340"/>
      <c r="F278" s="340"/>
      <c r="G278" s="340"/>
      <c r="H278" s="340"/>
      <c r="I278" s="340"/>
      <c r="J278" s="340"/>
      <c r="K278" s="340"/>
      <c r="L278" s="340"/>
      <c r="M278" s="340"/>
      <c r="N278" s="340"/>
    </row>
    <row r="279" spans="1:14" x14ac:dyDescent="0.2">
      <c r="A279" s="333"/>
      <c r="B279" s="349"/>
      <c r="C279" s="340"/>
      <c r="D279" s="340"/>
      <c r="E279" s="340"/>
      <c r="F279" s="340"/>
      <c r="G279" s="340"/>
      <c r="H279" s="340"/>
      <c r="I279" s="340"/>
      <c r="J279" s="340"/>
      <c r="K279" s="340"/>
      <c r="L279" s="340"/>
      <c r="M279" s="340"/>
      <c r="N279" s="340"/>
    </row>
    <row r="280" spans="1:14" x14ac:dyDescent="0.2">
      <c r="A280" s="333"/>
      <c r="B280" s="349"/>
      <c r="C280" s="340"/>
      <c r="D280" s="340"/>
      <c r="E280" s="340"/>
      <c r="F280" s="340"/>
      <c r="G280" s="340"/>
      <c r="H280" s="340"/>
      <c r="I280" s="340"/>
      <c r="J280" s="340"/>
      <c r="K280" s="340"/>
      <c r="L280" s="340"/>
      <c r="M280" s="340"/>
      <c r="N280" s="340"/>
    </row>
    <row r="281" spans="1:14" x14ac:dyDescent="0.2">
      <c r="A281" s="333"/>
      <c r="B281" s="349"/>
      <c r="C281" s="340"/>
      <c r="D281" s="340"/>
      <c r="E281" s="340"/>
      <c r="F281" s="340"/>
      <c r="G281" s="340"/>
      <c r="H281" s="340"/>
      <c r="I281" s="340"/>
      <c r="J281" s="340"/>
      <c r="K281" s="340"/>
      <c r="L281" s="340"/>
      <c r="M281" s="340"/>
      <c r="N281" s="340"/>
    </row>
    <row r="282" spans="1:14" x14ac:dyDescent="0.2">
      <c r="A282" s="333"/>
      <c r="B282" s="349"/>
      <c r="C282" s="340"/>
      <c r="D282" s="340"/>
      <c r="E282" s="340"/>
      <c r="F282" s="340"/>
      <c r="G282" s="340"/>
      <c r="H282" s="340"/>
      <c r="I282" s="340"/>
      <c r="J282" s="340"/>
      <c r="K282" s="340"/>
      <c r="L282" s="340"/>
      <c r="M282" s="340"/>
      <c r="N282" s="340"/>
    </row>
    <row r="283" spans="1:14" x14ac:dyDescent="0.2">
      <c r="A283" s="333"/>
      <c r="B283" s="349"/>
      <c r="C283" s="340"/>
      <c r="D283" s="340"/>
      <c r="E283" s="340"/>
      <c r="F283" s="340"/>
      <c r="G283" s="340"/>
      <c r="H283" s="340"/>
      <c r="I283" s="340"/>
      <c r="J283" s="340"/>
      <c r="K283" s="340"/>
      <c r="L283" s="340"/>
      <c r="M283" s="340"/>
      <c r="N283" s="340"/>
    </row>
    <row r="284" spans="1:14" x14ac:dyDescent="0.2">
      <c r="A284" s="333"/>
      <c r="B284" s="349"/>
      <c r="C284" s="340"/>
      <c r="D284" s="340"/>
      <c r="E284" s="340"/>
      <c r="F284" s="340"/>
      <c r="G284" s="340"/>
      <c r="H284" s="340"/>
      <c r="I284" s="340"/>
      <c r="J284" s="340"/>
      <c r="K284" s="340"/>
      <c r="L284" s="340"/>
      <c r="M284" s="340"/>
      <c r="N284" s="340"/>
    </row>
    <row r="285" spans="1:14" x14ac:dyDescent="0.2">
      <c r="A285" s="333"/>
      <c r="B285" s="349"/>
      <c r="C285" s="340"/>
      <c r="D285" s="340"/>
      <c r="E285" s="340"/>
      <c r="F285" s="340"/>
      <c r="G285" s="340"/>
      <c r="H285" s="340"/>
      <c r="I285" s="340"/>
      <c r="J285" s="340"/>
      <c r="K285" s="340"/>
      <c r="L285" s="340"/>
      <c r="M285" s="340"/>
      <c r="N285" s="340"/>
    </row>
    <row r="286" spans="1:14" x14ac:dyDescent="0.2">
      <c r="A286" s="338"/>
      <c r="B286" s="349"/>
      <c r="C286" s="340"/>
      <c r="D286" s="340"/>
      <c r="E286" s="340"/>
      <c r="F286" s="340"/>
      <c r="G286" s="340"/>
      <c r="H286" s="340"/>
      <c r="I286" s="340"/>
      <c r="J286" s="340"/>
      <c r="K286" s="340"/>
      <c r="L286" s="340"/>
      <c r="M286" s="340"/>
      <c r="N286" s="340"/>
    </row>
    <row r="287" spans="1:14" x14ac:dyDescent="0.2">
      <c r="A287" s="338"/>
      <c r="B287" s="349"/>
      <c r="C287" s="340"/>
      <c r="D287" s="340"/>
      <c r="E287" s="340"/>
      <c r="F287" s="340"/>
      <c r="G287" s="340"/>
      <c r="H287" s="340"/>
      <c r="I287" s="340"/>
      <c r="J287" s="340"/>
      <c r="K287" s="340"/>
      <c r="L287" s="340"/>
      <c r="M287" s="340"/>
      <c r="N287" s="340"/>
    </row>
    <row r="288" spans="1:14" x14ac:dyDescent="0.2">
      <c r="A288" s="338"/>
      <c r="B288" s="349"/>
      <c r="C288" s="340"/>
      <c r="D288" s="340"/>
      <c r="E288" s="340"/>
      <c r="F288" s="340"/>
      <c r="G288" s="340"/>
      <c r="H288" s="340"/>
      <c r="I288" s="340"/>
      <c r="J288" s="340"/>
      <c r="K288" s="340"/>
      <c r="L288" s="340"/>
      <c r="M288" s="340"/>
      <c r="N288" s="340"/>
    </row>
    <row r="289" spans="1:14" x14ac:dyDescent="0.2">
      <c r="A289" s="338"/>
      <c r="B289" s="349"/>
      <c r="C289" s="340"/>
      <c r="D289" s="340"/>
      <c r="E289" s="340"/>
      <c r="F289" s="340"/>
      <c r="G289" s="340"/>
      <c r="H289" s="340"/>
      <c r="I289" s="340"/>
      <c r="J289" s="340"/>
      <c r="K289" s="340"/>
      <c r="L289" s="340"/>
      <c r="M289" s="340"/>
      <c r="N289" s="340"/>
    </row>
    <row r="290" spans="1:14" x14ac:dyDescent="0.2">
      <c r="A290" s="338"/>
      <c r="B290" s="349"/>
      <c r="C290" s="340"/>
      <c r="D290" s="340"/>
      <c r="E290" s="340"/>
      <c r="F290" s="340"/>
      <c r="G290" s="340"/>
      <c r="H290" s="340"/>
      <c r="I290" s="340"/>
      <c r="J290" s="340"/>
      <c r="K290" s="340"/>
      <c r="L290" s="340"/>
      <c r="M290" s="340"/>
      <c r="N290" s="340"/>
    </row>
    <row r="291" spans="1:14" x14ac:dyDescent="0.2">
      <c r="A291" s="338"/>
      <c r="B291" s="349"/>
      <c r="C291" s="340"/>
      <c r="D291" s="340"/>
      <c r="E291" s="340"/>
      <c r="F291" s="340"/>
      <c r="G291" s="340"/>
      <c r="H291" s="340"/>
      <c r="I291" s="340"/>
      <c r="J291" s="340"/>
      <c r="K291" s="340"/>
      <c r="L291" s="340"/>
      <c r="M291" s="340"/>
      <c r="N291" s="340"/>
    </row>
    <row r="292" spans="1:14" x14ac:dyDescent="0.2">
      <c r="A292" s="338"/>
      <c r="B292" s="349"/>
      <c r="C292" s="340"/>
      <c r="D292" s="340"/>
      <c r="E292" s="340"/>
      <c r="F292" s="340"/>
      <c r="G292" s="340"/>
      <c r="H292" s="340"/>
      <c r="I292" s="340"/>
      <c r="J292" s="340"/>
      <c r="K292" s="340"/>
      <c r="L292" s="340"/>
      <c r="M292" s="340"/>
      <c r="N292" s="340"/>
    </row>
    <row r="293" spans="1:14" s="325" customFormat="1" x14ac:dyDescent="0.2">
      <c r="A293" s="338"/>
      <c r="B293" s="348"/>
      <c r="C293" s="340"/>
      <c r="D293" s="340"/>
      <c r="E293" s="340"/>
      <c r="F293" s="340"/>
      <c r="G293" s="340"/>
      <c r="H293" s="340"/>
      <c r="I293" s="340"/>
      <c r="J293" s="340"/>
      <c r="K293" s="340"/>
      <c r="L293" s="340"/>
      <c r="M293" s="340"/>
      <c r="N293" s="340"/>
    </row>
    <row r="294" spans="1:14" s="325" customFormat="1" x14ac:dyDescent="0.2">
      <c r="A294" s="338"/>
      <c r="B294" s="348"/>
      <c r="C294" s="340"/>
      <c r="D294" s="340"/>
      <c r="E294" s="340"/>
      <c r="F294" s="340"/>
      <c r="G294" s="340"/>
      <c r="H294" s="340"/>
      <c r="I294" s="340"/>
      <c r="J294" s="340"/>
      <c r="K294" s="340"/>
      <c r="L294" s="340"/>
      <c r="M294" s="340"/>
      <c r="N294" s="340"/>
    </row>
    <row r="295" spans="1:14" s="325" customFormat="1" x14ac:dyDescent="0.2">
      <c r="B295" s="348"/>
      <c r="C295" s="324"/>
      <c r="D295" s="324"/>
      <c r="E295" s="324"/>
      <c r="F295" s="324"/>
      <c r="G295" s="324"/>
      <c r="H295" s="324"/>
      <c r="I295" s="324"/>
      <c r="J295" s="324"/>
      <c r="K295" s="324"/>
      <c r="L295" s="324"/>
      <c r="M295" s="324"/>
      <c r="N295" s="324"/>
    </row>
    <row r="296" spans="1:14" s="325" customFormat="1" x14ac:dyDescent="0.2">
      <c r="B296" s="348"/>
      <c r="C296" s="324"/>
      <c r="D296" s="324"/>
      <c r="E296" s="324"/>
      <c r="F296" s="324"/>
      <c r="G296" s="324"/>
      <c r="H296" s="324"/>
      <c r="I296" s="324"/>
      <c r="J296" s="324"/>
      <c r="K296" s="324"/>
      <c r="L296" s="324"/>
      <c r="M296" s="324"/>
      <c r="N296" s="324"/>
    </row>
    <row r="297" spans="1:14" x14ac:dyDescent="0.2">
      <c r="A297" s="332"/>
      <c r="B297" s="344"/>
    </row>
    <row r="298" spans="1:14" x14ac:dyDescent="0.2">
      <c r="A298" s="337"/>
      <c r="B298" s="349"/>
      <c r="C298" s="328"/>
      <c r="D298" s="328"/>
      <c r="E298" s="328"/>
      <c r="F298" s="328"/>
      <c r="G298" s="328"/>
      <c r="H298" s="328"/>
      <c r="I298" s="328"/>
      <c r="J298" s="328"/>
      <c r="K298" s="328"/>
      <c r="L298" s="328"/>
      <c r="M298" s="328"/>
      <c r="N298" s="328"/>
    </row>
    <row r="299" spans="1:14" x14ac:dyDescent="0.2">
      <c r="A299" s="337"/>
      <c r="B299" s="349"/>
      <c r="C299" s="328"/>
      <c r="D299" s="328"/>
      <c r="E299" s="328"/>
      <c r="F299" s="328"/>
      <c r="G299" s="328"/>
      <c r="H299" s="328"/>
      <c r="I299" s="328"/>
      <c r="J299" s="328"/>
      <c r="K299" s="328"/>
      <c r="L299" s="328"/>
      <c r="M299" s="328"/>
      <c r="N299" s="328"/>
    </row>
    <row r="300" spans="1:14" x14ac:dyDescent="0.2">
      <c r="A300" s="337"/>
      <c r="B300" s="349"/>
      <c r="C300" s="328"/>
      <c r="D300" s="328"/>
      <c r="E300" s="328"/>
      <c r="F300" s="328"/>
      <c r="G300" s="328"/>
      <c r="H300" s="328"/>
      <c r="I300" s="328"/>
      <c r="J300" s="328"/>
      <c r="K300" s="328"/>
      <c r="L300" s="328"/>
      <c r="M300" s="328"/>
      <c r="N300" s="328"/>
    </row>
    <row r="301" spans="1:14" x14ac:dyDescent="0.2">
      <c r="A301" s="337"/>
      <c r="B301" s="349"/>
      <c r="C301" s="328"/>
      <c r="D301" s="328"/>
      <c r="E301" s="328"/>
      <c r="F301" s="328"/>
      <c r="G301" s="328"/>
      <c r="H301" s="328"/>
      <c r="I301" s="328"/>
      <c r="J301" s="328"/>
      <c r="K301" s="328"/>
      <c r="L301" s="328"/>
      <c r="M301" s="328"/>
      <c r="N301" s="328"/>
    </row>
    <row r="302" spans="1:14" x14ac:dyDescent="0.2">
      <c r="A302" s="337"/>
      <c r="B302" s="349"/>
      <c r="C302" s="328"/>
      <c r="D302" s="328"/>
      <c r="E302" s="328"/>
      <c r="F302" s="328"/>
      <c r="G302" s="328"/>
      <c r="H302" s="328"/>
      <c r="I302" s="328"/>
      <c r="J302" s="328"/>
      <c r="K302" s="328"/>
      <c r="L302" s="328"/>
      <c r="M302" s="328"/>
      <c r="N302" s="328"/>
    </row>
    <row r="303" spans="1:14" x14ac:dyDescent="0.2">
      <c r="A303" s="337"/>
      <c r="B303" s="349"/>
      <c r="C303" s="328"/>
      <c r="D303" s="328"/>
      <c r="E303" s="328"/>
      <c r="F303" s="328"/>
      <c r="G303" s="328"/>
      <c r="H303" s="328"/>
      <c r="I303" s="328"/>
      <c r="J303" s="328"/>
      <c r="K303" s="328"/>
      <c r="L303" s="328"/>
      <c r="M303" s="328"/>
      <c r="N303" s="328"/>
    </row>
    <row r="304" spans="1:14" x14ac:dyDescent="0.2">
      <c r="A304" s="337"/>
      <c r="B304" s="349"/>
      <c r="C304" s="328"/>
      <c r="D304" s="328"/>
      <c r="E304" s="328"/>
      <c r="F304" s="328"/>
      <c r="G304" s="328"/>
      <c r="H304" s="328"/>
      <c r="I304" s="328"/>
      <c r="J304" s="328"/>
      <c r="K304" s="328"/>
      <c r="L304" s="328"/>
      <c r="M304" s="328"/>
      <c r="N304" s="328"/>
    </row>
    <row r="305" spans="1:14" x14ac:dyDescent="0.2">
      <c r="A305" s="337"/>
      <c r="B305" s="349"/>
      <c r="C305" s="328"/>
      <c r="D305" s="328"/>
      <c r="E305" s="328"/>
      <c r="F305" s="328"/>
      <c r="G305" s="328"/>
      <c r="H305" s="328"/>
      <c r="I305" s="328"/>
      <c r="J305" s="328"/>
      <c r="K305" s="328"/>
      <c r="L305" s="328"/>
      <c r="M305" s="328"/>
      <c r="N305" s="328"/>
    </row>
    <row r="306" spans="1:14" x14ac:dyDescent="0.2">
      <c r="A306" s="337"/>
      <c r="B306" s="349"/>
      <c r="C306" s="328"/>
      <c r="D306" s="328"/>
      <c r="E306" s="328"/>
      <c r="F306" s="328"/>
      <c r="G306" s="328"/>
      <c r="H306" s="328"/>
      <c r="I306" s="328"/>
      <c r="J306" s="328"/>
      <c r="K306" s="328"/>
      <c r="L306" s="328"/>
      <c r="M306" s="328"/>
      <c r="N306" s="328"/>
    </row>
    <row r="307" spans="1:14" x14ac:dyDescent="0.2">
      <c r="A307" s="337"/>
      <c r="B307" s="350"/>
      <c r="C307" s="328"/>
      <c r="D307" s="328"/>
      <c r="E307" s="328"/>
      <c r="F307" s="328"/>
      <c r="G307" s="328"/>
      <c r="H307" s="328"/>
      <c r="I307" s="328"/>
      <c r="J307" s="328"/>
      <c r="K307" s="328"/>
      <c r="L307" s="328"/>
      <c r="M307" s="328"/>
      <c r="N307" s="328"/>
    </row>
    <row r="308" spans="1:14" x14ac:dyDescent="0.2">
      <c r="A308" s="337"/>
      <c r="B308" s="349"/>
      <c r="C308" s="328"/>
      <c r="D308" s="328"/>
      <c r="E308" s="328"/>
      <c r="F308" s="328"/>
      <c r="G308" s="328"/>
      <c r="H308" s="328"/>
      <c r="I308" s="328"/>
      <c r="J308" s="328"/>
      <c r="K308" s="328"/>
      <c r="L308" s="328"/>
      <c r="M308" s="328"/>
      <c r="N308" s="328"/>
    </row>
    <row r="309" spans="1:14" x14ac:dyDescent="0.2">
      <c r="A309" s="337"/>
      <c r="B309" s="349"/>
      <c r="C309" s="328"/>
      <c r="D309" s="328"/>
      <c r="E309" s="328"/>
      <c r="F309" s="328"/>
      <c r="G309" s="328"/>
      <c r="H309" s="328"/>
      <c r="I309" s="328"/>
      <c r="J309" s="328"/>
      <c r="K309" s="328"/>
      <c r="L309" s="328"/>
      <c r="M309" s="328"/>
      <c r="N309" s="328"/>
    </row>
    <row r="310" spans="1:14" x14ac:dyDescent="0.2">
      <c r="A310" s="337"/>
      <c r="B310" s="349"/>
      <c r="C310" s="328"/>
      <c r="D310" s="328"/>
      <c r="E310" s="328"/>
      <c r="F310" s="328"/>
      <c r="G310" s="328"/>
      <c r="H310" s="328"/>
      <c r="I310" s="328"/>
      <c r="J310" s="328"/>
      <c r="K310" s="328"/>
      <c r="L310" s="328"/>
      <c r="M310" s="328"/>
      <c r="N310" s="328"/>
    </row>
    <row r="311" spans="1:14" x14ac:dyDescent="0.2">
      <c r="A311" s="337"/>
      <c r="B311" s="349"/>
      <c r="C311" s="328"/>
      <c r="D311" s="328"/>
      <c r="E311" s="328"/>
      <c r="F311" s="328"/>
      <c r="G311" s="328"/>
      <c r="H311" s="328"/>
      <c r="I311" s="328"/>
      <c r="J311" s="328"/>
      <c r="K311" s="328"/>
      <c r="L311" s="328"/>
      <c r="M311" s="328"/>
      <c r="N311" s="328"/>
    </row>
    <row r="312" spans="1:14" x14ac:dyDescent="0.2">
      <c r="A312" s="337"/>
      <c r="B312" s="349"/>
      <c r="C312" s="328"/>
      <c r="D312" s="328"/>
      <c r="E312" s="328"/>
      <c r="F312" s="328"/>
      <c r="G312" s="328"/>
      <c r="H312" s="328"/>
      <c r="I312" s="328"/>
      <c r="J312" s="328"/>
      <c r="K312" s="328"/>
      <c r="L312" s="328"/>
      <c r="M312" s="328"/>
      <c r="N312" s="328"/>
    </row>
    <row r="313" spans="1:14" x14ac:dyDescent="0.2">
      <c r="A313" s="337"/>
      <c r="B313" s="349"/>
      <c r="C313" s="328"/>
      <c r="D313" s="328"/>
      <c r="E313" s="328"/>
      <c r="F313" s="328"/>
      <c r="G313" s="328"/>
      <c r="H313" s="328"/>
      <c r="I313" s="328"/>
      <c r="J313" s="328"/>
      <c r="K313" s="328"/>
      <c r="L313" s="328"/>
      <c r="M313" s="328"/>
      <c r="N313" s="328"/>
    </row>
    <row r="314" spans="1:14" x14ac:dyDescent="0.2">
      <c r="A314" s="337"/>
      <c r="B314" s="349"/>
      <c r="C314" s="328"/>
      <c r="D314" s="328"/>
      <c r="E314" s="328"/>
      <c r="F314" s="328"/>
      <c r="G314" s="328"/>
      <c r="H314" s="328"/>
      <c r="I314" s="328"/>
      <c r="J314" s="328"/>
      <c r="K314" s="328"/>
      <c r="L314" s="328"/>
      <c r="M314" s="328"/>
      <c r="N314" s="328"/>
    </row>
    <row r="315" spans="1:14" x14ac:dyDescent="0.2">
      <c r="A315" s="337"/>
      <c r="B315" s="349"/>
      <c r="C315" s="328"/>
      <c r="D315" s="328"/>
      <c r="E315" s="328"/>
      <c r="F315" s="328"/>
      <c r="G315" s="328"/>
      <c r="H315" s="328"/>
      <c r="I315" s="328"/>
      <c r="J315" s="328"/>
      <c r="K315" s="328"/>
      <c r="L315" s="328"/>
      <c r="M315" s="328"/>
      <c r="N315" s="328"/>
    </row>
    <row r="316" spans="1:14" x14ac:dyDescent="0.2">
      <c r="A316" s="337"/>
      <c r="B316" s="349"/>
      <c r="C316" s="328"/>
      <c r="D316" s="328"/>
      <c r="E316" s="328"/>
      <c r="F316" s="328"/>
      <c r="G316" s="328"/>
      <c r="H316" s="328"/>
      <c r="I316" s="328"/>
      <c r="J316" s="328"/>
      <c r="K316" s="328"/>
      <c r="L316" s="328"/>
      <c r="M316" s="328"/>
      <c r="N316" s="328"/>
    </row>
    <row r="317" spans="1:14" x14ac:dyDescent="0.2">
      <c r="A317" s="337"/>
      <c r="B317" s="349"/>
      <c r="C317" s="328"/>
      <c r="D317" s="328"/>
      <c r="E317" s="328"/>
      <c r="F317" s="328"/>
      <c r="G317" s="328"/>
      <c r="H317" s="328"/>
      <c r="I317" s="328"/>
      <c r="J317" s="328"/>
      <c r="K317" s="328"/>
      <c r="L317" s="328"/>
      <c r="M317" s="328"/>
      <c r="N317" s="328"/>
    </row>
    <row r="318" spans="1:14" x14ac:dyDescent="0.2">
      <c r="A318" s="337"/>
      <c r="B318" s="349"/>
      <c r="C318" s="328"/>
      <c r="D318" s="328"/>
      <c r="E318" s="328"/>
      <c r="F318" s="328"/>
      <c r="G318" s="328"/>
      <c r="H318" s="328"/>
      <c r="I318" s="328"/>
      <c r="J318" s="328"/>
      <c r="K318" s="328"/>
      <c r="L318" s="328"/>
      <c r="M318" s="328"/>
      <c r="N318" s="328"/>
    </row>
    <row r="319" spans="1:14" x14ac:dyDescent="0.2">
      <c r="A319" s="337"/>
      <c r="B319" s="349"/>
      <c r="C319" s="328"/>
      <c r="D319" s="328"/>
      <c r="E319" s="328"/>
      <c r="F319" s="328"/>
      <c r="G319" s="328"/>
      <c r="H319" s="328"/>
      <c r="I319" s="328"/>
      <c r="J319" s="328"/>
      <c r="K319" s="328"/>
      <c r="L319" s="328"/>
      <c r="M319" s="328"/>
      <c r="N319" s="328"/>
    </row>
    <row r="320" spans="1:14" x14ac:dyDescent="0.2">
      <c r="A320" s="337"/>
      <c r="B320" s="349"/>
      <c r="C320" s="328"/>
      <c r="D320" s="328"/>
      <c r="E320" s="328"/>
      <c r="F320" s="328"/>
      <c r="G320" s="328"/>
      <c r="H320" s="328"/>
      <c r="I320" s="328"/>
      <c r="J320" s="328"/>
      <c r="K320" s="328"/>
      <c r="L320" s="328"/>
      <c r="M320" s="328"/>
      <c r="N320" s="328"/>
    </row>
    <row r="321" spans="1:14" x14ac:dyDescent="0.2">
      <c r="A321" s="337"/>
      <c r="B321" s="349"/>
      <c r="C321" s="328"/>
      <c r="D321" s="328"/>
      <c r="E321" s="328"/>
      <c r="F321" s="328"/>
      <c r="G321" s="328"/>
      <c r="H321" s="328"/>
      <c r="I321" s="328"/>
      <c r="J321" s="328"/>
      <c r="K321" s="328"/>
      <c r="L321" s="328"/>
      <c r="M321" s="328"/>
      <c r="N321" s="328"/>
    </row>
    <row r="322" spans="1:14" x14ac:dyDescent="0.2">
      <c r="B322" s="344"/>
      <c r="C322" s="334"/>
      <c r="D322" s="334"/>
      <c r="E322" s="334"/>
      <c r="F322" s="334"/>
      <c r="G322" s="334"/>
      <c r="H322" s="334"/>
      <c r="I322" s="334"/>
      <c r="J322" s="334"/>
      <c r="K322" s="334"/>
      <c r="L322" s="334"/>
      <c r="M322" s="334"/>
      <c r="N322" s="334"/>
    </row>
    <row r="323" spans="1:14" x14ac:dyDescent="0.2">
      <c r="B323" s="345"/>
      <c r="C323" s="328"/>
      <c r="D323" s="328"/>
      <c r="E323" s="328"/>
      <c r="F323" s="328"/>
      <c r="G323" s="328"/>
      <c r="H323" s="328"/>
      <c r="I323" s="328"/>
      <c r="J323" s="328"/>
      <c r="K323" s="328"/>
      <c r="L323" s="328"/>
      <c r="M323" s="328"/>
      <c r="N323" s="328"/>
    </row>
    <row r="324" spans="1:14" x14ac:dyDescent="0.2">
      <c r="B324" s="349"/>
      <c r="C324" s="328"/>
      <c r="D324" s="328"/>
      <c r="E324" s="328"/>
      <c r="F324" s="328"/>
      <c r="G324" s="328"/>
      <c r="H324" s="328"/>
      <c r="I324" s="328"/>
      <c r="J324" s="328"/>
      <c r="K324" s="328"/>
      <c r="L324" s="328"/>
      <c r="M324" s="328"/>
      <c r="N324" s="328"/>
    </row>
    <row r="325" spans="1:14" x14ac:dyDescent="0.2">
      <c r="B325" s="349"/>
      <c r="C325" s="328"/>
      <c r="D325" s="328"/>
      <c r="E325" s="328"/>
      <c r="F325" s="328"/>
      <c r="G325" s="328"/>
      <c r="H325" s="328"/>
      <c r="I325" s="328"/>
      <c r="J325" s="328"/>
      <c r="K325" s="328"/>
      <c r="L325" s="328"/>
      <c r="M325" s="328"/>
      <c r="N325" s="328"/>
    </row>
    <row r="326" spans="1:14" x14ac:dyDescent="0.2">
      <c r="B326" s="349"/>
      <c r="C326" s="328"/>
      <c r="D326" s="328"/>
      <c r="E326" s="328"/>
      <c r="F326" s="328"/>
      <c r="G326" s="328"/>
      <c r="H326" s="328"/>
      <c r="I326" s="328"/>
      <c r="J326" s="328"/>
      <c r="K326" s="328"/>
      <c r="L326" s="328"/>
      <c r="M326" s="328"/>
      <c r="N326" s="328"/>
    </row>
    <row r="327" spans="1:14" x14ac:dyDescent="0.2">
      <c r="B327" s="349"/>
      <c r="C327" s="328"/>
      <c r="D327" s="328"/>
      <c r="E327" s="328"/>
      <c r="F327" s="328"/>
      <c r="G327" s="328"/>
      <c r="H327" s="328"/>
      <c r="I327" s="328"/>
      <c r="J327" s="328"/>
      <c r="K327" s="328"/>
      <c r="L327" s="328"/>
      <c r="M327" s="328"/>
      <c r="N327" s="328"/>
    </row>
    <row r="328" spans="1:14" x14ac:dyDescent="0.2">
      <c r="B328" s="349"/>
      <c r="C328" s="328"/>
      <c r="D328" s="328"/>
      <c r="E328" s="328"/>
      <c r="F328" s="328"/>
      <c r="G328" s="328"/>
      <c r="H328" s="328"/>
      <c r="I328" s="328"/>
      <c r="J328" s="328"/>
      <c r="K328" s="328"/>
      <c r="L328" s="328"/>
      <c r="M328" s="328"/>
      <c r="N328" s="328"/>
    </row>
    <row r="329" spans="1:14" x14ac:dyDescent="0.2">
      <c r="B329" s="349"/>
      <c r="C329" s="328"/>
      <c r="D329" s="328"/>
      <c r="E329" s="328"/>
      <c r="F329" s="328"/>
      <c r="G329" s="328"/>
      <c r="H329" s="328"/>
      <c r="I329" s="328"/>
      <c r="J329" s="328"/>
      <c r="K329" s="328"/>
      <c r="L329" s="328"/>
      <c r="M329" s="328"/>
      <c r="N329" s="328"/>
    </row>
    <row r="330" spans="1:14" x14ac:dyDescent="0.2">
      <c r="B330" s="349"/>
      <c r="C330" s="328"/>
      <c r="D330" s="328"/>
      <c r="E330" s="328"/>
      <c r="F330" s="328"/>
      <c r="G330" s="328"/>
      <c r="H330" s="328"/>
      <c r="I330" s="328"/>
      <c r="J330" s="328"/>
      <c r="K330" s="328"/>
      <c r="L330" s="328"/>
      <c r="M330" s="328"/>
      <c r="N330" s="328"/>
    </row>
    <row r="331" spans="1:14" x14ac:dyDescent="0.2">
      <c r="B331" s="349"/>
      <c r="C331" s="328"/>
      <c r="D331" s="328"/>
      <c r="E331" s="328"/>
      <c r="F331" s="328"/>
      <c r="G331" s="328"/>
      <c r="H331" s="328"/>
      <c r="I331" s="328"/>
      <c r="J331" s="328"/>
      <c r="K331" s="328"/>
      <c r="L331" s="328"/>
      <c r="M331" s="328"/>
      <c r="N331" s="328"/>
    </row>
    <row r="332" spans="1:14" x14ac:dyDescent="0.2">
      <c r="B332" s="349"/>
      <c r="C332" s="328"/>
      <c r="D332" s="328"/>
      <c r="E332" s="328"/>
      <c r="F332" s="328"/>
      <c r="G332" s="328"/>
      <c r="H332" s="328"/>
      <c r="I332" s="328"/>
      <c r="J332" s="328"/>
      <c r="K332" s="328"/>
      <c r="L332" s="328"/>
      <c r="M332" s="328"/>
      <c r="N332" s="328"/>
    </row>
    <row r="333" spans="1:14" x14ac:dyDescent="0.2">
      <c r="B333" s="350"/>
      <c r="C333" s="328"/>
      <c r="D333" s="328"/>
      <c r="E333" s="328"/>
      <c r="F333" s="328"/>
      <c r="G333" s="328"/>
      <c r="H333" s="328"/>
      <c r="I333" s="328"/>
      <c r="J333" s="328"/>
      <c r="K333" s="328"/>
      <c r="L333" s="328"/>
      <c r="M333" s="328"/>
      <c r="N333" s="328"/>
    </row>
    <row r="334" spans="1:14" x14ac:dyDescent="0.2">
      <c r="B334" s="349"/>
      <c r="C334" s="328"/>
      <c r="D334" s="328"/>
      <c r="E334" s="328"/>
      <c r="F334" s="328"/>
      <c r="G334" s="328"/>
      <c r="H334" s="328"/>
      <c r="I334" s="328"/>
      <c r="J334" s="328"/>
      <c r="K334" s="328"/>
      <c r="L334" s="328"/>
      <c r="M334" s="328"/>
      <c r="N334" s="328"/>
    </row>
    <row r="335" spans="1:14" x14ac:dyDescent="0.2">
      <c r="B335" s="349"/>
      <c r="C335" s="328"/>
      <c r="D335" s="328"/>
      <c r="E335" s="328"/>
      <c r="F335" s="328"/>
      <c r="G335" s="328"/>
      <c r="H335" s="328"/>
      <c r="I335" s="328"/>
      <c r="J335" s="328"/>
      <c r="K335" s="328"/>
      <c r="L335" s="328"/>
      <c r="M335" s="328"/>
      <c r="N335" s="328"/>
    </row>
    <row r="336" spans="1:14" x14ac:dyDescent="0.2">
      <c r="B336" s="349"/>
      <c r="C336" s="328"/>
      <c r="D336" s="328"/>
      <c r="E336" s="328"/>
      <c r="F336" s="328"/>
      <c r="G336" s="328"/>
      <c r="H336" s="328"/>
      <c r="I336" s="328"/>
      <c r="J336" s="328"/>
      <c r="K336" s="328"/>
      <c r="L336" s="328"/>
      <c r="M336" s="328"/>
      <c r="N336" s="328"/>
    </row>
    <row r="337" spans="1:14" x14ac:dyDescent="0.2">
      <c r="B337" s="349"/>
      <c r="C337" s="328"/>
      <c r="D337" s="328"/>
      <c r="E337" s="328"/>
      <c r="F337" s="328"/>
      <c r="G337" s="328"/>
      <c r="H337" s="328"/>
      <c r="I337" s="328"/>
      <c r="J337" s="328"/>
      <c r="K337" s="328"/>
      <c r="L337" s="328"/>
      <c r="M337" s="328"/>
      <c r="N337" s="328"/>
    </row>
    <row r="338" spans="1:14" x14ac:dyDescent="0.2">
      <c r="B338" s="349"/>
      <c r="C338" s="328"/>
      <c r="D338" s="328"/>
      <c r="E338" s="328"/>
      <c r="F338" s="328"/>
      <c r="G338" s="328"/>
      <c r="H338" s="328"/>
      <c r="I338" s="328"/>
      <c r="J338" s="328"/>
      <c r="K338" s="328"/>
      <c r="L338" s="328"/>
      <c r="M338" s="328"/>
      <c r="N338" s="328"/>
    </row>
    <row r="339" spans="1:14" x14ac:dyDescent="0.2">
      <c r="B339" s="349"/>
      <c r="C339" s="328"/>
      <c r="D339" s="328"/>
      <c r="E339" s="328"/>
      <c r="F339" s="328"/>
      <c r="G339" s="328"/>
      <c r="H339" s="328"/>
      <c r="I339" s="328"/>
      <c r="J339" s="328"/>
      <c r="K339" s="328"/>
      <c r="L339" s="328"/>
      <c r="M339" s="328"/>
      <c r="N339" s="328"/>
    </row>
    <row r="340" spans="1:14" x14ac:dyDescent="0.2">
      <c r="B340" s="349"/>
      <c r="C340" s="328"/>
      <c r="D340" s="328"/>
      <c r="E340" s="328"/>
      <c r="F340" s="328"/>
      <c r="G340" s="328"/>
      <c r="H340" s="328"/>
      <c r="I340" s="328"/>
      <c r="J340" s="328"/>
      <c r="K340" s="328"/>
      <c r="L340" s="328"/>
      <c r="M340" s="328"/>
      <c r="N340" s="328"/>
    </row>
    <row r="341" spans="1:14" x14ac:dyDescent="0.2">
      <c r="B341" s="349"/>
      <c r="C341" s="328"/>
      <c r="D341" s="328"/>
      <c r="E341" s="328"/>
      <c r="F341" s="328"/>
      <c r="G341" s="328"/>
      <c r="H341" s="328"/>
      <c r="I341" s="328"/>
      <c r="J341" s="328"/>
      <c r="K341" s="328"/>
      <c r="L341" s="328"/>
      <c r="M341" s="328"/>
      <c r="N341" s="328"/>
    </row>
    <row r="342" spans="1:14" x14ac:dyDescent="0.2">
      <c r="B342" s="349"/>
      <c r="C342" s="328"/>
      <c r="D342" s="328"/>
      <c r="E342" s="328"/>
      <c r="F342" s="328"/>
      <c r="G342" s="328"/>
      <c r="H342" s="328"/>
      <c r="I342" s="328"/>
      <c r="J342" s="328"/>
      <c r="K342" s="328"/>
      <c r="L342" s="328"/>
      <c r="M342" s="328"/>
      <c r="N342" s="328"/>
    </row>
    <row r="343" spans="1:14" x14ac:dyDescent="0.2">
      <c r="B343" s="349"/>
      <c r="C343" s="328"/>
      <c r="D343" s="328"/>
      <c r="E343" s="328"/>
      <c r="F343" s="328"/>
      <c r="G343" s="328"/>
      <c r="H343" s="328"/>
      <c r="I343" s="328"/>
      <c r="J343" s="328"/>
      <c r="K343" s="328"/>
      <c r="L343" s="328"/>
      <c r="M343" s="328"/>
      <c r="N343" s="328"/>
    </row>
    <row r="344" spans="1:14" x14ac:dyDescent="0.2">
      <c r="B344" s="349"/>
      <c r="C344" s="328"/>
      <c r="D344" s="328"/>
      <c r="E344" s="328"/>
      <c r="F344" s="328"/>
      <c r="G344" s="328"/>
      <c r="H344" s="328"/>
      <c r="I344" s="328"/>
      <c r="J344" s="328"/>
      <c r="K344" s="328"/>
      <c r="L344" s="328"/>
      <c r="M344" s="328"/>
      <c r="N344" s="328"/>
    </row>
    <row r="345" spans="1:14" x14ac:dyDescent="0.2">
      <c r="B345" s="349"/>
      <c r="C345" s="328"/>
      <c r="D345" s="328"/>
      <c r="E345" s="328"/>
      <c r="F345" s="328"/>
      <c r="G345" s="328"/>
      <c r="H345" s="328"/>
      <c r="I345" s="328"/>
      <c r="J345" s="328"/>
      <c r="K345" s="328"/>
      <c r="L345" s="328"/>
      <c r="M345" s="328"/>
      <c r="N345" s="328"/>
    </row>
    <row r="346" spans="1:14" x14ac:dyDescent="0.2">
      <c r="B346" s="349"/>
      <c r="C346" s="328"/>
      <c r="D346" s="328"/>
      <c r="E346" s="328"/>
      <c r="F346" s="328"/>
      <c r="G346" s="328"/>
      <c r="H346" s="328"/>
      <c r="I346" s="328"/>
      <c r="J346" s="328"/>
      <c r="K346" s="328"/>
      <c r="L346" s="328"/>
      <c r="M346" s="328"/>
      <c r="N346" s="328"/>
    </row>
    <row r="347" spans="1:14" x14ac:dyDescent="0.2">
      <c r="B347" s="349"/>
      <c r="C347" s="328"/>
      <c r="D347" s="328"/>
      <c r="E347" s="328"/>
      <c r="F347" s="328"/>
      <c r="G347" s="328"/>
      <c r="H347" s="328"/>
      <c r="I347" s="328"/>
      <c r="J347" s="328"/>
      <c r="K347" s="328"/>
      <c r="L347" s="328"/>
      <c r="M347" s="328"/>
      <c r="N347" s="328"/>
    </row>
    <row r="348" spans="1:14" x14ac:dyDescent="0.2">
      <c r="B348" s="344"/>
      <c r="C348" s="334"/>
      <c r="D348" s="334"/>
      <c r="E348" s="334"/>
      <c r="F348" s="334"/>
      <c r="G348" s="334"/>
      <c r="H348" s="334"/>
      <c r="I348" s="334"/>
      <c r="J348" s="334"/>
      <c r="K348" s="334"/>
      <c r="L348" s="334"/>
      <c r="M348" s="334"/>
      <c r="N348" s="334"/>
    </row>
    <row r="349" spans="1:14" x14ac:dyDescent="0.2">
      <c r="B349" s="345"/>
    </row>
    <row r="350" spans="1:14" x14ac:dyDescent="0.2">
      <c r="C350" s="328"/>
      <c r="D350" s="328"/>
      <c r="E350" s="328"/>
      <c r="F350" s="328"/>
      <c r="G350" s="328"/>
      <c r="H350" s="328"/>
      <c r="I350" s="328"/>
      <c r="J350" s="328"/>
      <c r="K350" s="328"/>
      <c r="L350" s="328"/>
      <c r="M350" s="328"/>
      <c r="N350" s="328"/>
    </row>
    <row r="351" spans="1:14" x14ac:dyDescent="0.2">
      <c r="B351" s="344"/>
      <c r="C351" s="334"/>
      <c r="D351" s="334"/>
      <c r="E351" s="334"/>
      <c r="F351" s="334"/>
      <c r="G351" s="334"/>
      <c r="H351" s="334"/>
      <c r="I351" s="334"/>
      <c r="J351" s="334"/>
      <c r="K351" s="334"/>
      <c r="L351" s="334"/>
      <c r="M351" s="334"/>
      <c r="N351" s="334"/>
    </row>
    <row r="352" spans="1:14" x14ac:dyDescent="0.2">
      <c r="A352" s="335"/>
      <c r="B352" s="345"/>
    </row>
    <row r="353" spans="1:14" x14ac:dyDescent="0.2">
      <c r="A353" s="337"/>
      <c r="B353" s="349"/>
      <c r="C353" s="328"/>
      <c r="D353" s="328"/>
      <c r="E353" s="328"/>
      <c r="F353" s="328"/>
      <c r="G353" s="328"/>
      <c r="H353" s="328"/>
      <c r="I353" s="328"/>
      <c r="J353" s="328"/>
      <c r="K353" s="328"/>
      <c r="L353" s="328"/>
      <c r="M353" s="328"/>
      <c r="N353" s="328"/>
    </row>
    <row r="354" spans="1:14" x14ac:dyDescent="0.2">
      <c r="A354" s="337"/>
      <c r="B354" s="349"/>
      <c r="C354" s="328"/>
      <c r="D354" s="328"/>
      <c r="E354" s="328"/>
      <c r="F354" s="328"/>
      <c r="G354" s="328"/>
      <c r="H354" s="328"/>
      <c r="I354" s="328"/>
      <c r="J354" s="328"/>
      <c r="K354" s="328"/>
      <c r="L354" s="328"/>
      <c r="M354" s="328"/>
      <c r="N354" s="328"/>
    </row>
    <row r="355" spans="1:14" x14ac:dyDescent="0.2">
      <c r="A355" s="337"/>
      <c r="B355" s="349"/>
      <c r="C355" s="328"/>
      <c r="D355" s="328"/>
      <c r="E355" s="328"/>
      <c r="F355" s="328"/>
      <c r="G355" s="328"/>
      <c r="H355" s="328"/>
      <c r="I355" s="328"/>
      <c r="J355" s="328"/>
      <c r="K355" s="328"/>
      <c r="L355" s="328"/>
      <c r="M355" s="328"/>
      <c r="N355" s="328"/>
    </row>
    <row r="356" spans="1:14" x14ac:dyDescent="0.2">
      <c r="A356" s="337"/>
      <c r="B356" s="349"/>
      <c r="C356" s="328"/>
      <c r="D356" s="328"/>
      <c r="E356" s="328"/>
      <c r="F356" s="328"/>
      <c r="G356" s="328"/>
      <c r="H356" s="328"/>
      <c r="I356" s="328"/>
      <c r="J356" s="328"/>
      <c r="K356" s="328"/>
      <c r="L356" s="328"/>
      <c r="M356" s="328"/>
      <c r="N356" s="328"/>
    </row>
    <row r="357" spans="1:14" x14ac:dyDescent="0.2">
      <c r="A357" s="337"/>
      <c r="B357" s="349"/>
      <c r="C357" s="328"/>
      <c r="D357" s="328"/>
      <c r="E357" s="328"/>
      <c r="F357" s="328"/>
      <c r="G357" s="328"/>
      <c r="H357" s="328"/>
      <c r="I357" s="328"/>
      <c r="J357" s="328"/>
      <c r="K357" s="328"/>
      <c r="L357" s="328"/>
      <c r="M357" s="328"/>
      <c r="N357" s="328"/>
    </row>
    <row r="358" spans="1:14" x14ac:dyDescent="0.2">
      <c r="A358" s="337"/>
      <c r="B358" s="349"/>
      <c r="C358" s="328"/>
      <c r="D358" s="328"/>
      <c r="E358" s="328"/>
      <c r="F358" s="328"/>
      <c r="G358" s="328"/>
      <c r="H358" s="328"/>
      <c r="I358" s="328"/>
      <c r="J358" s="328"/>
      <c r="K358" s="328"/>
      <c r="L358" s="328"/>
      <c r="M358" s="328"/>
      <c r="N358" s="328"/>
    </row>
    <row r="359" spans="1:14" x14ac:dyDescent="0.2">
      <c r="A359" s="337"/>
      <c r="B359" s="349"/>
      <c r="C359" s="328"/>
      <c r="D359" s="328"/>
      <c r="E359" s="328"/>
      <c r="F359" s="328"/>
      <c r="G359" s="328"/>
      <c r="H359" s="328"/>
      <c r="I359" s="328"/>
      <c r="J359" s="328"/>
      <c r="K359" s="328"/>
      <c r="L359" s="328"/>
      <c r="M359" s="328"/>
      <c r="N359" s="328"/>
    </row>
    <row r="360" spans="1:14" x14ac:dyDescent="0.2">
      <c r="A360" s="337"/>
      <c r="B360" s="349"/>
      <c r="C360" s="328"/>
      <c r="D360" s="328"/>
      <c r="E360" s="328"/>
      <c r="F360" s="328"/>
      <c r="G360" s="328"/>
      <c r="H360" s="328"/>
      <c r="I360" s="328"/>
      <c r="J360" s="328"/>
      <c r="K360" s="328"/>
      <c r="L360" s="328"/>
      <c r="M360" s="328"/>
      <c r="N360" s="328"/>
    </row>
    <row r="361" spans="1:14" x14ac:dyDescent="0.2">
      <c r="A361" s="337"/>
      <c r="B361" s="349"/>
      <c r="C361" s="328"/>
      <c r="D361" s="328"/>
      <c r="E361" s="328"/>
      <c r="F361" s="328"/>
      <c r="G361" s="328"/>
      <c r="H361" s="328"/>
      <c r="I361" s="328"/>
      <c r="J361" s="328"/>
      <c r="K361" s="328"/>
      <c r="L361" s="328"/>
      <c r="M361" s="328"/>
      <c r="N361" s="328"/>
    </row>
    <row r="362" spans="1:14" x14ac:dyDescent="0.2">
      <c r="A362" s="337"/>
      <c r="B362" s="350"/>
      <c r="C362" s="328"/>
      <c r="D362" s="328"/>
      <c r="E362" s="328"/>
      <c r="F362" s="328"/>
      <c r="G362" s="328"/>
      <c r="H362" s="328"/>
      <c r="I362" s="328"/>
      <c r="J362" s="328"/>
      <c r="K362" s="328"/>
      <c r="L362" s="328"/>
      <c r="M362" s="328"/>
      <c r="N362" s="328"/>
    </row>
    <row r="363" spans="1:14" x14ac:dyDescent="0.2">
      <c r="A363" s="337"/>
      <c r="B363" s="349"/>
      <c r="C363" s="328"/>
      <c r="D363" s="328"/>
      <c r="E363" s="328"/>
      <c r="F363" s="328"/>
      <c r="G363" s="328"/>
      <c r="H363" s="328"/>
      <c r="I363" s="328"/>
      <c r="J363" s="328"/>
      <c r="K363" s="328"/>
      <c r="L363" s="328"/>
      <c r="M363" s="328"/>
      <c r="N363" s="328"/>
    </row>
    <row r="364" spans="1:14" x14ac:dyDescent="0.2">
      <c r="A364" s="337"/>
      <c r="B364" s="349"/>
      <c r="C364" s="328"/>
      <c r="D364" s="328"/>
      <c r="E364" s="328"/>
      <c r="F364" s="328"/>
      <c r="G364" s="328"/>
      <c r="H364" s="328"/>
      <c r="I364" s="328"/>
      <c r="J364" s="328"/>
      <c r="K364" s="328"/>
      <c r="L364" s="328"/>
      <c r="M364" s="328"/>
      <c r="N364" s="328"/>
    </row>
    <row r="365" spans="1:14" x14ac:dyDescent="0.2">
      <c r="A365" s="337"/>
      <c r="B365" s="349"/>
      <c r="C365" s="328"/>
      <c r="D365" s="328"/>
      <c r="E365" s="328"/>
      <c r="F365" s="328"/>
      <c r="G365" s="328"/>
      <c r="H365" s="328"/>
      <c r="I365" s="328"/>
      <c r="J365" s="328"/>
      <c r="K365" s="328"/>
      <c r="L365" s="328"/>
      <c r="M365" s="328"/>
      <c r="N365" s="328"/>
    </row>
    <row r="366" spans="1:14" x14ac:dyDescent="0.2">
      <c r="A366" s="337"/>
      <c r="B366" s="349"/>
      <c r="C366" s="328"/>
      <c r="D366" s="328"/>
      <c r="E366" s="328"/>
      <c r="F366" s="328"/>
      <c r="G366" s="328"/>
      <c r="H366" s="328"/>
      <c r="I366" s="328"/>
      <c r="J366" s="328"/>
      <c r="K366" s="328"/>
      <c r="L366" s="328"/>
      <c r="M366" s="328"/>
      <c r="N366" s="328"/>
    </row>
    <row r="367" spans="1:14" x14ac:dyDescent="0.2">
      <c r="A367" s="337"/>
      <c r="B367" s="349"/>
      <c r="C367" s="328"/>
      <c r="D367" s="328"/>
      <c r="E367" s="328"/>
      <c r="F367" s="328"/>
      <c r="G367" s="328"/>
      <c r="H367" s="328"/>
      <c r="I367" s="328"/>
      <c r="J367" s="328"/>
      <c r="K367" s="328"/>
      <c r="L367" s="328"/>
      <c r="M367" s="328"/>
      <c r="N367" s="328"/>
    </row>
    <row r="368" spans="1:14" x14ac:dyDescent="0.2">
      <c r="A368" s="337"/>
      <c r="B368" s="349"/>
      <c r="C368" s="328"/>
      <c r="D368" s="328"/>
      <c r="E368" s="328"/>
      <c r="F368" s="328"/>
      <c r="G368" s="328"/>
      <c r="H368" s="328"/>
      <c r="I368" s="328"/>
      <c r="J368" s="328"/>
      <c r="K368" s="328"/>
      <c r="L368" s="328"/>
      <c r="M368" s="328"/>
      <c r="N368" s="328"/>
    </row>
    <row r="369" spans="1:14" x14ac:dyDescent="0.2">
      <c r="A369" s="337"/>
      <c r="B369" s="349"/>
      <c r="C369" s="328"/>
      <c r="D369" s="328"/>
      <c r="E369" s="328"/>
      <c r="F369" s="328"/>
      <c r="G369" s="328"/>
      <c r="H369" s="328"/>
      <c r="I369" s="328"/>
      <c r="J369" s="328"/>
      <c r="K369" s="328"/>
      <c r="L369" s="328"/>
      <c r="M369" s="328"/>
      <c r="N369" s="328"/>
    </row>
    <row r="370" spans="1:14" x14ac:dyDescent="0.2">
      <c r="A370" s="337"/>
      <c r="B370" s="349"/>
      <c r="C370" s="328"/>
      <c r="D370" s="328"/>
      <c r="E370" s="328"/>
      <c r="F370" s="328"/>
      <c r="G370" s="328"/>
      <c r="H370" s="328"/>
      <c r="I370" s="328"/>
      <c r="J370" s="328"/>
      <c r="K370" s="328"/>
      <c r="L370" s="328"/>
      <c r="M370" s="328"/>
      <c r="N370" s="328"/>
    </row>
    <row r="371" spans="1:14" x14ac:dyDescent="0.2">
      <c r="A371" s="337"/>
      <c r="B371" s="349"/>
      <c r="C371" s="328"/>
      <c r="D371" s="328"/>
      <c r="E371" s="328"/>
      <c r="F371" s="328"/>
      <c r="G371" s="328"/>
      <c r="H371" s="328"/>
      <c r="I371" s="328"/>
      <c r="J371" s="328"/>
      <c r="K371" s="328"/>
      <c r="L371" s="328"/>
      <c r="M371" s="328"/>
      <c r="N371" s="328"/>
    </row>
    <row r="372" spans="1:14" x14ac:dyDescent="0.2">
      <c r="A372" s="337"/>
      <c r="B372" s="349"/>
      <c r="C372" s="328"/>
      <c r="D372" s="328"/>
      <c r="E372" s="328"/>
      <c r="F372" s="328"/>
      <c r="G372" s="328"/>
      <c r="H372" s="328"/>
      <c r="I372" s="328"/>
      <c r="J372" s="328"/>
      <c r="K372" s="328"/>
      <c r="L372" s="328"/>
      <c r="M372" s="328"/>
      <c r="N372" s="328"/>
    </row>
    <row r="373" spans="1:14" x14ac:dyDescent="0.2">
      <c r="A373" s="337"/>
      <c r="B373" s="349"/>
      <c r="C373" s="328"/>
      <c r="D373" s="328"/>
      <c r="E373" s="328"/>
      <c r="F373" s="328"/>
      <c r="G373" s="328"/>
      <c r="H373" s="328"/>
      <c r="I373" s="328"/>
      <c r="J373" s="328"/>
      <c r="K373" s="328"/>
      <c r="L373" s="328"/>
      <c r="M373" s="328"/>
      <c r="N373" s="328"/>
    </row>
    <row r="374" spans="1:14" x14ac:dyDescent="0.2">
      <c r="A374" s="337"/>
      <c r="B374" s="349"/>
      <c r="C374" s="328"/>
      <c r="D374" s="328"/>
      <c r="E374" s="328"/>
      <c r="F374" s="328"/>
      <c r="G374" s="328"/>
      <c r="H374" s="328"/>
      <c r="I374" s="328"/>
      <c r="J374" s="328"/>
      <c r="K374" s="328"/>
      <c r="L374" s="328"/>
      <c r="M374" s="328"/>
      <c r="N374" s="328"/>
    </row>
    <row r="375" spans="1:14" x14ac:dyDescent="0.2">
      <c r="A375" s="337"/>
      <c r="B375" s="349"/>
      <c r="C375" s="328"/>
      <c r="D375" s="328"/>
      <c r="E375" s="328"/>
      <c r="F375" s="328"/>
      <c r="G375" s="328"/>
      <c r="H375" s="328"/>
      <c r="I375" s="328"/>
      <c r="J375" s="328"/>
      <c r="K375" s="328"/>
      <c r="L375" s="328"/>
      <c r="M375" s="328"/>
      <c r="N375" s="328"/>
    </row>
    <row r="376" spans="1:14" x14ac:dyDescent="0.2">
      <c r="A376" s="337"/>
      <c r="B376" s="349"/>
      <c r="C376" s="328"/>
      <c r="D376" s="328"/>
      <c r="E376" s="328"/>
      <c r="F376" s="328"/>
      <c r="G376" s="328"/>
      <c r="H376" s="328"/>
      <c r="I376" s="328"/>
      <c r="J376" s="328"/>
      <c r="K376" s="328"/>
      <c r="L376" s="328"/>
      <c r="M376" s="328"/>
      <c r="N376" s="328"/>
    </row>
    <row r="377" spans="1:14" x14ac:dyDescent="0.2">
      <c r="B377" s="344"/>
      <c r="C377" s="334"/>
      <c r="D377" s="334"/>
      <c r="E377" s="334"/>
      <c r="F377" s="334"/>
      <c r="G377" s="334"/>
      <c r="H377" s="334"/>
      <c r="I377" s="334"/>
      <c r="J377" s="334"/>
      <c r="K377" s="334"/>
      <c r="L377" s="334"/>
      <c r="M377" s="334"/>
      <c r="N377" s="334"/>
    </row>
    <row r="378" spans="1:14" x14ac:dyDescent="0.2">
      <c r="B378" s="345"/>
      <c r="C378" s="328"/>
      <c r="D378" s="328"/>
      <c r="E378" s="328"/>
      <c r="F378" s="328"/>
      <c r="G378" s="328"/>
      <c r="H378" s="328"/>
      <c r="I378" s="328"/>
      <c r="J378" s="328"/>
      <c r="K378" s="328"/>
      <c r="L378" s="328"/>
      <c r="M378" s="328"/>
      <c r="N378" s="328"/>
    </row>
    <row r="379" spans="1:14" x14ac:dyDescent="0.2">
      <c r="B379" s="349"/>
      <c r="C379" s="328"/>
      <c r="D379" s="328"/>
      <c r="E379" s="328"/>
      <c r="F379" s="328"/>
      <c r="G379" s="328"/>
      <c r="H379" s="328"/>
      <c r="I379" s="328"/>
      <c r="J379" s="328"/>
      <c r="K379" s="328"/>
      <c r="L379" s="328"/>
      <c r="M379" s="328"/>
      <c r="N379" s="328"/>
    </row>
    <row r="380" spans="1:14" x14ac:dyDescent="0.2">
      <c r="B380" s="349"/>
      <c r="C380" s="328"/>
      <c r="D380" s="328"/>
      <c r="E380" s="328"/>
      <c r="F380" s="328"/>
      <c r="G380" s="328"/>
      <c r="H380" s="328"/>
      <c r="I380" s="328"/>
      <c r="J380" s="328"/>
      <c r="K380" s="328"/>
      <c r="L380" s="328"/>
      <c r="M380" s="328"/>
      <c r="N380" s="328"/>
    </row>
    <row r="381" spans="1:14" x14ac:dyDescent="0.2">
      <c r="B381" s="349"/>
      <c r="C381" s="328"/>
      <c r="D381" s="328"/>
      <c r="E381" s="328"/>
      <c r="F381" s="328"/>
      <c r="G381" s="328"/>
      <c r="H381" s="328"/>
      <c r="I381" s="328"/>
      <c r="J381" s="328"/>
      <c r="K381" s="328"/>
      <c r="L381" s="328"/>
      <c r="M381" s="328"/>
      <c r="N381" s="328"/>
    </row>
    <row r="382" spans="1:14" x14ac:dyDescent="0.2">
      <c r="B382" s="349"/>
      <c r="C382" s="328"/>
      <c r="D382" s="328"/>
      <c r="E382" s="328"/>
      <c r="F382" s="328"/>
      <c r="G382" s="328"/>
      <c r="H382" s="328"/>
      <c r="I382" s="328"/>
      <c r="J382" s="328"/>
      <c r="K382" s="328"/>
      <c r="L382" s="328"/>
      <c r="M382" s="328"/>
      <c r="N382" s="328"/>
    </row>
    <row r="383" spans="1:14" x14ac:dyDescent="0.2">
      <c r="B383" s="349"/>
      <c r="C383" s="328"/>
      <c r="D383" s="328"/>
      <c r="E383" s="328"/>
      <c r="F383" s="328"/>
      <c r="G383" s="328"/>
      <c r="H383" s="328"/>
      <c r="I383" s="328"/>
      <c r="J383" s="328"/>
      <c r="K383" s="328"/>
      <c r="L383" s="328"/>
      <c r="M383" s="328"/>
      <c r="N383" s="328"/>
    </row>
    <row r="384" spans="1:14" x14ac:dyDescent="0.2">
      <c r="B384" s="349"/>
      <c r="C384" s="328"/>
      <c r="D384" s="328"/>
      <c r="E384" s="328"/>
      <c r="F384" s="328"/>
      <c r="G384" s="328"/>
      <c r="H384" s="328"/>
      <c r="I384" s="328"/>
      <c r="J384" s="328"/>
      <c r="K384" s="328"/>
      <c r="L384" s="328"/>
      <c r="M384" s="328"/>
      <c r="N384" s="328"/>
    </row>
    <row r="385" spans="2:14" x14ac:dyDescent="0.2">
      <c r="B385" s="349"/>
      <c r="C385" s="328"/>
      <c r="D385" s="328"/>
      <c r="E385" s="328"/>
      <c r="F385" s="328"/>
      <c r="G385" s="328"/>
      <c r="H385" s="328"/>
      <c r="I385" s="328"/>
      <c r="J385" s="328"/>
      <c r="K385" s="328"/>
      <c r="L385" s="328"/>
      <c r="M385" s="328"/>
      <c r="N385" s="328"/>
    </row>
    <row r="386" spans="2:14" x14ac:dyDescent="0.2">
      <c r="B386" s="349"/>
      <c r="C386" s="328"/>
      <c r="D386" s="328"/>
      <c r="E386" s="328"/>
      <c r="F386" s="328"/>
      <c r="G386" s="328"/>
      <c r="H386" s="328"/>
      <c r="I386" s="328"/>
      <c r="J386" s="328"/>
      <c r="K386" s="328"/>
      <c r="L386" s="328"/>
      <c r="M386" s="328"/>
      <c r="N386" s="328"/>
    </row>
    <row r="387" spans="2:14" x14ac:dyDescent="0.2">
      <c r="B387" s="349"/>
      <c r="C387" s="328"/>
      <c r="D387" s="328"/>
      <c r="E387" s="328"/>
      <c r="F387" s="328"/>
      <c r="G387" s="328"/>
      <c r="H387" s="328"/>
      <c r="I387" s="328"/>
      <c r="J387" s="328"/>
      <c r="K387" s="328"/>
      <c r="L387" s="328"/>
      <c r="M387" s="328"/>
      <c r="N387" s="328"/>
    </row>
    <row r="388" spans="2:14" x14ac:dyDescent="0.2">
      <c r="B388" s="350"/>
      <c r="C388" s="328"/>
      <c r="D388" s="328"/>
      <c r="E388" s="328"/>
      <c r="F388" s="328"/>
      <c r="G388" s="328"/>
      <c r="H388" s="328"/>
      <c r="I388" s="328"/>
      <c r="J388" s="328"/>
      <c r="K388" s="328"/>
      <c r="L388" s="328"/>
      <c r="M388" s="328"/>
      <c r="N388" s="328"/>
    </row>
    <row r="389" spans="2:14" x14ac:dyDescent="0.2">
      <c r="B389" s="349"/>
      <c r="C389" s="328"/>
      <c r="D389" s="328"/>
      <c r="E389" s="328"/>
      <c r="F389" s="328"/>
      <c r="G389" s="328"/>
      <c r="H389" s="328"/>
      <c r="I389" s="328"/>
      <c r="J389" s="328"/>
      <c r="K389" s="328"/>
      <c r="L389" s="328"/>
      <c r="M389" s="328"/>
      <c r="N389" s="328"/>
    </row>
    <row r="390" spans="2:14" x14ac:dyDescent="0.2">
      <c r="B390" s="349"/>
      <c r="C390" s="328"/>
      <c r="D390" s="328"/>
      <c r="E390" s="328"/>
      <c r="F390" s="328"/>
      <c r="G390" s="328"/>
      <c r="H390" s="328"/>
      <c r="I390" s="328"/>
      <c r="J390" s="328"/>
      <c r="K390" s="328"/>
      <c r="L390" s="328"/>
      <c r="M390" s="328"/>
      <c r="N390" s="328"/>
    </row>
    <row r="391" spans="2:14" x14ac:dyDescent="0.2">
      <c r="B391" s="349"/>
      <c r="C391" s="328"/>
      <c r="D391" s="328"/>
      <c r="E391" s="328"/>
      <c r="F391" s="328"/>
      <c r="G391" s="328"/>
      <c r="H391" s="328"/>
      <c r="I391" s="328"/>
      <c r="J391" s="328"/>
      <c r="K391" s="328"/>
      <c r="L391" s="328"/>
      <c r="M391" s="328"/>
      <c r="N391" s="328"/>
    </row>
    <row r="392" spans="2:14" x14ac:dyDescent="0.2">
      <c r="B392" s="349"/>
      <c r="C392" s="328"/>
      <c r="D392" s="328"/>
      <c r="E392" s="328"/>
      <c r="F392" s="328"/>
      <c r="G392" s="328"/>
      <c r="H392" s="328"/>
      <c r="I392" s="328"/>
      <c r="J392" s="328"/>
      <c r="K392" s="328"/>
      <c r="L392" s="328"/>
      <c r="M392" s="328"/>
      <c r="N392" s="328"/>
    </row>
    <row r="393" spans="2:14" x14ac:dyDescent="0.2">
      <c r="B393" s="349"/>
      <c r="C393" s="328"/>
      <c r="D393" s="328"/>
      <c r="E393" s="328"/>
      <c r="F393" s="328"/>
      <c r="G393" s="328"/>
      <c r="H393" s="328"/>
      <c r="I393" s="328"/>
      <c r="J393" s="328"/>
      <c r="K393" s="328"/>
      <c r="L393" s="328"/>
      <c r="M393" s="328"/>
      <c r="N393" s="328"/>
    </row>
    <row r="394" spans="2:14" x14ac:dyDescent="0.2">
      <c r="B394" s="349"/>
      <c r="C394" s="328"/>
      <c r="D394" s="328"/>
      <c r="E394" s="328"/>
      <c r="F394" s="328"/>
      <c r="G394" s="328"/>
      <c r="H394" s="328"/>
      <c r="I394" s="328"/>
      <c r="J394" s="328"/>
      <c r="K394" s="328"/>
      <c r="L394" s="328"/>
      <c r="M394" s="328"/>
      <c r="N394" s="328"/>
    </row>
    <row r="395" spans="2:14" x14ac:dyDescent="0.2">
      <c r="B395" s="349"/>
      <c r="C395" s="328"/>
      <c r="D395" s="328"/>
      <c r="E395" s="328"/>
      <c r="F395" s="328"/>
      <c r="G395" s="328"/>
      <c r="H395" s="328"/>
      <c r="I395" s="328"/>
      <c r="J395" s="328"/>
      <c r="K395" s="328"/>
      <c r="L395" s="328"/>
      <c r="M395" s="328"/>
      <c r="N395" s="328"/>
    </row>
    <row r="396" spans="2:14" x14ac:dyDescent="0.2">
      <c r="B396" s="349"/>
      <c r="C396" s="328"/>
      <c r="D396" s="328"/>
      <c r="E396" s="328"/>
      <c r="F396" s="328"/>
      <c r="G396" s="328"/>
      <c r="H396" s="328"/>
      <c r="I396" s="328"/>
      <c r="J396" s="328"/>
      <c r="K396" s="328"/>
      <c r="L396" s="328"/>
      <c r="M396" s="328"/>
      <c r="N396" s="328"/>
    </row>
    <row r="397" spans="2:14" x14ac:dyDescent="0.2">
      <c r="B397" s="349"/>
      <c r="C397" s="328"/>
      <c r="D397" s="328"/>
      <c r="E397" s="328"/>
      <c r="F397" s="328"/>
      <c r="G397" s="328"/>
      <c r="H397" s="328"/>
      <c r="I397" s="328"/>
      <c r="J397" s="328"/>
      <c r="K397" s="328"/>
      <c r="L397" s="328"/>
      <c r="M397" s="328"/>
      <c r="N397" s="328"/>
    </row>
    <row r="398" spans="2:14" x14ac:dyDescent="0.2">
      <c r="B398" s="349"/>
      <c r="C398" s="328"/>
      <c r="D398" s="328"/>
      <c r="E398" s="328"/>
      <c r="F398" s="328"/>
      <c r="G398" s="328"/>
      <c r="H398" s="328"/>
      <c r="I398" s="328"/>
      <c r="J398" s="328"/>
      <c r="K398" s="328"/>
      <c r="L398" s="328"/>
      <c r="M398" s="328"/>
      <c r="N398" s="328"/>
    </row>
    <row r="399" spans="2:14" x14ac:dyDescent="0.2">
      <c r="B399" s="349"/>
      <c r="C399" s="328"/>
      <c r="D399" s="328"/>
      <c r="E399" s="328"/>
      <c r="F399" s="328"/>
      <c r="G399" s="328"/>
      <c r="H399" s="328"/>
      <c r="I399" s="328"/>
      <c r="J399" s="328"/>
      <c r="K399" s="328"/>
      <c r="L399" s="328"/>
      <c r="M399" s="328"/>
      <c r="N399" s="328"/>
    </row>
    <row r="400" spans="2:14" x14ac:dyDescent="0.2">
      <c r="B400" s="349"/>
      <c r="C400" s="328"/>
      <c r="D400" s="328"/>
      <c r="E400" s="328"/>
      <c r="F400" s="328"/>
      <c r="G400" s="328"/>
      <c r="H400" s="328"/>
      <c r="I400" s="328"/>
      <c r="J400" s="328"/>
      <c r="K400" s="328"/>
      <c r="L400" s="328"/>
      <c r="M400" s="328"/>
      <c r="N400" s="328"/>
    </row>
    <row r="401" spans="1:14" x14ac:dyDescent="0.2">
      <c r="B401" s="349"/>
      <c r="C401" s="328"/>
      <c r="D401" s="328"/>
      <c r="E401" s="328"/>
      <c r="F401" s="328"/>
      <c r="G401" s="328"/>
      <c r="H401" s="328"/>
      <c r="I401" s="328"/>
      <c r="J401" s="328"/>
      <c r="K401" s="328"/>
      <c r="L401" s="328"/>
      <c r="M401" s="328"/>
      <c r="N401" s="328"/>
    </row>
    <row r="402" spans="1:14" x14ac:dyDescent="0.2">
      <c r="B402" s="349"/>
      <c r="C402" s="328"/>
      <c r="D402" s="328"/>
      <c r="E402" s="328"/>
      <c r="F402" s="328"/>
      <c r="G402" s="328"/>
      <c r="H402" s="328"/>
      <c r="I402" s="328"/>
      <c r="J402" s="328"/>
      <c r="K402" s="328"/>
      <c r="L402" s="328"/>
      <c r="M402" s="328"/>
      <c r="N402" s="328"/>
    </row>
    <row r="403" spans="1:14" x14ac:dyDescent="0.2">
      <c r="B403" s="344"/>
      <c r="C403" s="334"/>
      <c r="D403" s="334"/>
      <c r="E403" s="334"/>
      <c r="F403" s="334"/>
      <c r="G403" s="334"/>
      <c r="H403" s="334"/>
      <c r="I403" s="334"/>
      <c r="J403" s="334"/>
      <c r="K403" s="334"/>
      <c r="L403" s="334"/>
      <c r="M403" s="334"/>
      <c r="N403" s="334"/>
    </row>
    <row r="404" spans="1:14" x14ac:dyDescent="0.2">
      <c r="B404" s="345"/>
    </row>
    <row r="405" spans="1:14" x14ac:dyDescent="0.2">
      <c r="C405" s="328"/>
      <c r="D405" s="328"/>
      <c r="E405" s="328"/>
      <c r="F405" s="328"/>
      <c r="G405" s="328"/>
      <c r="H405" s="328"/>
      <c r="I405" s="328"/>
      <c r="J405" s="328"/>
      <c r="K405" s="328"/>
      <c r="L405" s="328"/>
      <c r="M405" s="328"/>
      <c r="N405" s="328"/>
    </row>
    <row r="406" spans="1:14" x14ac:dyDescent="0.2">
      <c r="B406" s="344"/>
      <c r="C406" s="334"/>
      <c r="D406" s="334"/>
      <c r="E406" s="334"/>
      <c r="F406" s="334"/>
      <c r="G406" s="334"/>
      <c r="H406" s="334"/>
      <c r="I406" s="334"/>
      <c r="J406" s="334"/>
      <c r="K406" s="334"/>
      <c r="L406" s="334"/>
      <c r="M406" s="334"/>
      <c r="N406" s="334"/>
    </row>
    <row r="407" spans="1:14" x14ac:dyDescent="0.2">
      <c r="A407" s="335"/>
      <c r="B407" s="345"/>
    </row>
    <row r="408" spans="1:14" x14ac:dyDescent="0.2">
      <c r="A408" s="337"/>
      <c r="B408" s="349"/>
      <c r="C408" s="328"/>
      <c r="D408" s="328"/>
      <c r="E408" s="328"/>
      <c r="F408" s="328"/>
      <c r="G408" s="328"/>
      <c r="H408" s="328"/>
      <c r="I408" s="328"/>
      <c r="J408" s="328"/>
      <c r="K408" s="328"/>
      <c r="L408" s="328"/>
      <c r="M408" s="328"/>
      <c r="N408" s="328"/>
    </row>
    <row r="409" spans="1:14" x14ac:dyDescent="0.2">
      <c r="A409" s="337"/>
      <c r="B409" s="349"/>
      <c r="C409" s="328"/>
      <c r="D409" s="328"/>
      <c r="E409" s="328"/>
      <c r="F409" s="328"/>
      <c r="G409" s="328"/>
      <c r="H409" s="328"/>
      <c r="I409" s="328"/>
      <c r="J409" s="328"/>
      <c r="K409" s="328"/>
      <c r="L409" s="328"/>
      <c r="M409" s="328"/>
      <c r="N409" s="328"/>
    </row>
    <row r="410" spans="1:14" x14ac:dyDescent="0.2">
      <c r="A410" s="337"/>
      <c r="B410" s="349"/>
      <c r="C410" s="328"/>
      <c r="D410" s="328"/>
      <c r="E410" s="328"/>
      <c r="F410" s="328"/>
      <c r="G410" s="328"/>
      <c r="H410" s="328"/>
      <c r="I410" s="328"/>
      <c r="J410" s="328"/>
      <c r="K410" s="328"/>
      <c r="L410" s="328"/>
      <c r="M410" s="328"/>
      <c r="N410" s="328"/>
    </row>
    <row r="411" spans="1:14" x14ac:dyDescent="0.2">
      <c r="A411" s="337"/>
      <c r="B411" s="349"/>
      <c r="C411" s="328"/>
      <c r="D411" s="328"/>
      <c r="E411" s="328"/>
      <c r="F411" s="328"/>
      <c r="G411" s="328"/>
      <c r="H411" s="328"/>
      <c r="I411" s="328"/>
      <c r="J411" s="328"/>
      <c r="K411" s="328"/>
      <c r="L411" s="328"/>
      <c r="M411" s="328"/>
      <c r="N411" s="328"/>
    </row>
    <row r="412" spans="1:14" x14ac:dyDescent="0.2">
      <c r="A412" s="337"/>
      <c r="B412" s="349"/>
      <c r="C412" s="328"/>
      <c r="D412" s="328"/>
      <c r="E412" s="328"/>
      <c r="F412" s="328"/>
      <c r="G412" s="328"/>
      <c r="H412" s="328"/>
      <c r="I412" s="328"/>
      <c r="J412" s="328"/>
      <c r="K412" s="328"/>
      <c r="L412" s="328"/>
      <c r="M412" s="328"/>
      <c r="N412" s="328"/>
    </row>
    <row r="413" spans="1:14" x14ac:dyDescent="0.2">
      <c r="A413" s="337"/>
      <c r="B413" s="349"/>
      <c r="C413" s="328"/>
      <c r="D413" s="328"/>
      <c r="E413" s="328"/>
      <c r="F413" s="328"/>
      <c r="G413" s="328"/>
      <c r="H413" s="328"/>
      <c r="I413" s="328"/>
      <c r="J413" s="328"/>
      <c r="K413" s="328"/>
      <c r="L413" s="328"/>
      <c r="M413" s="328"/>
      <c r="N413" s="328"/>
    </row>
    <row r="414" spans="1:14" x14ac:dyDescent="0.2">
      <c r="A414" s="337"/>
      <c r="B414" s="349"/>
      <c r="C414" s="328"/>
      <c r="D414" s="328"/>
      <c r="E414" s="328"/>
      <c r="F414" s="328"/>
      <c r="G414" s="328"/>
      <c r="H414" s="328"/>
      <c r="I414" s="328"/>
      <c r="J414" s="328"/>
      <c r="K414" s="328"/>
      <c r="L414" s="328"/>
      <c r="M414" s="328"/>
      <c r="N414" s="328"/>
    </row>
    <row r="415" spans="1:14" x14ac:dyDescent="0.2">
      <c r="A415" s="337"/>
      <c r="B415" s="349"/>
      <c r="C415" s="328"/>
      <c r="D415" s="328"/>
      <c r="E415" s="328"/>
      <c r="F415" s="328"/>
      <c r="G415" s="328"/>
      <c r="H415" s="328"/>
      <c r="I415" s="328"/>
      <c r="J415" s="328"/>
      <c r="K415" s="328"/>
      <c r="L415" s="328"/>
      <c r="M415" s="328"/>
      <c r="N415" s="328"/>
    </row>
    <row r="416" spans="1:14" x14ac:dyDescent="0.2">
      <c r="A416" s="337"/>
      <c r="B416" s="349"/>
      <c r="C416" s="328"/>
      <c r="D416" s="328"/>
      <c r="E416" s="328"/>
      <c r="F416" s="328"/>
      <c r="G416" s="328"/>
      <c r="H416" s="328"/>
      <c r="I416" s="328"/>
      <c r="J416" s="328"/>
      <c r="K416" s="328"/>
      <c r="L416" s="328"/>
      <c r="M416" s="328"/>
      <c r="N416" s="328"/>
    </row>
    <row r="417" spans="1:14" x14ac:dyDescent="0.2">
      <c r="A417" s="337"/>
      <c r="B417" s="350"/>
      <c r="C417" s="328"/>
      <c r="D417" s="328"/>
      <c r="E417" s="328"/>
      <c r="F417" s="328"/>
      <c r="G417" s="328"/>
      <c r="H417" s="328"/>
      <c r="I417" s="328"/>
      <c r="J417" s="328"/>
      <c r="K417" s="328"/>
      <c r="L417" s="328"/>
      <c r="M417" s="328"/>
      <c r="N417" s="328"/>
    </row>
    <row r="418" spans="1:14" x14ac:dyDescent="0.2">
      <c r="A418" s="337"/>
      <c r="B418" s="349"/>
      <c r="C418" s="328"/>
      <c r="D418" s="328"/>
      <c r="E418" s="328"/>
      <c r="F418" s="328"/>
      <c r="G418" s="328"/>
      <c r="H418" s="328"/>
      <c r="I418" s="328"/>
      <c r="J418" s="328"/>
      <c r="K418" s="328"/>
      <c r="L418" s="328"/>
      <c r="M418" s="328"/>
      <c r="N418" s="328"/>
    </row>
    <row r="419" spans="1:14" x14ac:dyDescent="0.2">
      <c r="A419" s="337"/>
      <c r="B419" s="349"/>
      <c r="C419" s="328"/>
      <c r="D419" s="328"/>
      <c r="E419" s="328"/>
      <c r="F419" s="328"/>
      <c r="G419" s="328"/>
      <c r="H419" s="328"/>
      <c r="I419" s="328"/>
      <c r="J419" s="328"/>
      <c r="K419" s="328"/>
      <c r="L419" s="328"/>
      <c r="M419" s="328"/>
      <c r="N419" s="328"/>
    </row>
    <row r="420" spans="1:14" x14ac:dyDescent="0.2">
      <c r="A420" s="337"/>
      <c r="B420" s="349"/>
      <c r="C420" s="328"/>
      <c r="D420" s="328"/>
      <c r="E420" s="328"/>
      <c r="F420" s="328"/>
      <c r="G420" s="328"/>
      <c r="H420" s="328"/>
      <c r="I420" s="328"/>
      <c r="J420" s="328"/>
      <c r="K420" s="328"/>
      <c r="L420" s="328"/>
      <c r="M420" s="328"/>
      <c r="N420" s="328"/>
    </row>
    <row r="421" spans="1:14" x14ac:dyDescent="0.2">
      <c r="A421" s="337"/>
      <c r="B421" s="349"/>
      <c r="C421" s="328"/>
      <c r="D421" s="328"/>
      <c r="E421" s="328"/>
      <c r="F421" s="328"/>
      <c r="G421" s="328"/>
      <c r="H421" s="328"/>
      <c r="I421" s="328"/>
      <c r="J421" s="328"/>
      <c r="K421" s="328"/>
      <c r="L421" s="328"/>
      <c r="M421" s="328"/>
      <c r="N421" s="328"/>
    </row>
    <row r="422" spans="1:14" x14ac:dyDescent="0.2">
      <c r="A422" s="337"/>
      <c r="B422" s="349"/>
      <c r="C422" s="328"/>
      <c r="D422" s="328"/>
      <c r="E422" s="328"/>
      <c r="F422" s="328"/>
      <c r="G422" s="328"/>
      <c r="H422" s="328"/>
      <c r="I422" s="328"/>
      <c r="J422" s="328"/>
      <c r="K422" s="328"/>
      <c r="L422" s="328"/>
      <c r="M422" s="328"/>
      <c r="N422" s="328"/>
    </row>
    <row r="423" spans="1:14" x14ac:dyDescent="0.2">
      <c r="A423" s="337"/>
      <c r="B423" s="349"/>
      <c r="C423" s="328"/>
      <c r="D423" s="328"/>
      <c r="E423" s="328"/>
      <c r="F423" s="328"/>
      <c r="G423" s="328"/>
      <c r="H423" s="328"/>
      <c r="I423" s="328"/>
      <c r="J423" s="328"/>
      <c r="K423" s="328"/>
      <c r="L423" s="328"/>
      <c r="M423" s="328"/>
      <c r="N423" s="328"/>
    </row>
    <row r="424" spans="1:14" x14ac:dyDescent="0.2">
      <c r="A424" s="337"/>
      <c r="B424" s="349"/>
      <c r="C424" s="328"/>
      <c r="D424" s="328"/>
      <c r="E424" s="328"/>
      <c r="F424" s="328"/>
      <c r="G424" s="328"/>
      <c r="H424" s="328"/>
      <c r="I424" s="328"/>
      <c r="J424" s="328"/>
      <c r="K424" s="328"/>
      <c r="L424" s="328"/>
      <c r="M424" s="328"/>
      <c r="N424" s="328"/>
    </row>
    <row r="425" spans="1:14" x14ac:dyDescent="0.2">
      <c r="A425" s="337"/>
      <c r="B425" s="349"/>
      <c r="C425" s="328"/>
      <c r="D425" s="328"/>
      <c r="E425" s="328"/>
      <c r="F425" s="328"/>
      <c r="G425" s="328"/>
      <c r="H425" s="328"/>
      <c r="I425" s="328"/>
      <c r="J425" s="328"/>
      <c r="K425" s="328"/>
      <c r="L425" s="328"/>
      <c r="M425" s="328"/>
      <c r="N425" s="328"/>
    </row>
    <row r="426" spans="1:14" x14ac:dyDescent="0.2">
      <c r="A426" s="337"/>
      <c r="B426" s="349"/>
      <c r="C426" s="328"/>
      <c r="D426" s="328"/>
      <c r="E426" s="328"/>
      <c r="F426" s="328"/>
      <c r="G426" s="328"/>
      <c r="H426" s="328"/>
      <c r="I426" s="328"/>
      <c r="J426" s="328"/>
      <c r="K426" s="328"/>
      <c r="L426" s="328"/>
      <c r="M426" s="328"/>
      <c r="N426" s="328"/>
    </row>
    <row r="427" spans="1:14" x14ac:dyDescent="0.2">
      <c r="A427" s="337"/>
      <c r="B427" s="349"/>
      <c r="C427" s="328"/>
      <c r="D427" s="328"/>
      <c r="E427" s="328"/>
      <c r="F427" s="328"/>
      <c r="G427" s="328"/>
      <c r="H427" s="328"/>
      <c r="I427" s="328"/>
      <c r="J427" s="328"/>
      <c r="K427" s="328"/>
      <c r="L427" s="328"/>
      <c r="M427" s="328"/>
      <c r="N427" s="328"/>
    </row>
    <row r="428" spans="1:14" x14ac:dyDescent="0.2">
      <c r="A428" s="337"/>
      <c r="B428" s="349"/>
      <c r="C428" s="328"/>
      <c r="D428" s="328"/>
      <c r="E428" s="328"/>
      <c r="F428" s="328"/>
      <c r="G428" s="328"/>
      <c r="H428" s="328"/>
      <c r="I428" s="328"/>
      <c r="J428" s="328"/>
      <c r="K428" s="328"/>
      <c r="L428" s="328"/>
      <c r="M428" s="328"/>
      <c r="N428" s="328"/>
    </row>
    <row r="429" spans="1:14" x14ac:dyDescent="0.2">
      <c r="A429" s="337"/>
      <c r="B429" s="349"/>
      <c r="C429" s="328"/>
      <c r="D429" s="328"/>
      <c r="E429" s="328"/>
      <c r="F429" s="328"/>
      <c r="G429" s="328"/>
      <c r="H429" s="328"/>
      <c r="I429" s="328"/>
      <c r="J429" s="328"/>
      <c r="K429" s="328"/>
      <c r="L429" s="328"/>
      <c r="M429" s="328"/>
      <c r="N429" s="328"/>
    </row>
    <row r="430" spans="1:14" x14ac:dyDescent="0.2">
      <c r="A430" s="337"/>
      <c r="B430" s="349"/>
      <c r="C430" s="328"/>
      <c r="D430" s="328"/>
      <c r="E430" s="328"/>
      <c r="F430" s="328"/>
      <c r="G430" s="328"/>
      <c r="H430" s="328"/>
      <c r="I430" s="328"/>
      <c r="J430" s="328"/>
      <c r="K430" s="328"/>
      <c r="L430" s="328"/>
      <c r="M430" s="328"/>
      <c r="N430" s="328"/>
    </row>
    <row r="431" spans="1:14" x14ac:dyDescent="0.2">
      <c r="A431" s="337"/>
      <c r="B431" s="349"/>
      <c r="C431" s="328"/>
      <c r="D431" s="328"/>
      <c r="E431" s="328"/>
      <c r="F431" s="328"/>
      <c r="G431" s="328"/>
      <c r="H431" s="328"/>
      <c r="I431" s="328"/>
      <c r="J431" s="328"/>
      <c r="K431" s="328"/>
      <c r="L431" s="328"/>
      <c r="M431" s="328"/>
      <c r="N431" s="328"/>
    </row>
    <row r="432" spans="1:14" x14ac:dyDescent="0.2">
      <c r="B432" s="344"/>
      <c r="C432" s="334"/>
      <c r="D432" s="334"/>
      <c r="E432" s="334"/>
      <c r="F432" s="334"/>
      <c r="G432" s="334"/>
      <c r="H432" s="334"/>
      <c r="I432" s="334"/>
      <c r="J432" s="334"/>
      <c r="K432" s="334"/>
      <c r="L432" s="334"/>
      <c r="M432" s="334"/>
      <c r="N432" s="334"/>
    </row>
    <row r="433" spans="2:14" x14ac:dyDescent="0.2">
      <c r="B433" s="345"/>
      <c r="C433" s="328"/>
      <c r="D433" s="328"/>
      <c r="E433" s="328"/>
      <c r="F433" s="328"/>
      <c r="G433" s="328"/>
      <c r="H433" s="328"/>
      <c r="I433" s="328"/>
      <c r="J433" s="328"/>
      <c r="K433" s="328"/>
      <c r="L433" s="328"/>
      <c r="M433" s="328"/>
      <c r="N433" s="328"/>
    </row>
    <row r="434" spans="2:14" x14ac:dyDescent="0.2">
      <c r="B434" s="349"/>
      <c r="C434" s="328"/>
      <c r="D434" s="328"/>
      <c r="E434" s="328"/>
      <c r="F434" s="328"/>
      <c r="G434" s="328"/>
      <c r="H434" s="328"/>
      <c r="I434" s="328"/>
      <c r="J434" s="328"/>
      <c r="K434" s="328"/>
      <c r="L434" s="328"/>
      <c r="M434" s="328"/>
      <c r="N434" s="328"/>
    </row>
    <row r="435" spans="2:14" x14ac:dyDescent="0.2">
      <c r="B435" s="349"/>
      <c r="C435" s="328"/>
      <c r="D435" s="328"/>
      <c r="E435" s="328"/>
      <c r="F435" s="328"/>
      <c r="G435" s="328"/>
      <c r="H435" s="328"/>
      <c r="I435" s="328"/>
      <c r="J435" s="328"/>
      <c r="K435" s="328"/>
      <c r="L435" s="328"/>
      <c r="M435" s="328"/>
      <c r="N435" s="328"/>
    </row>
    <row r="436" spans="2:14" x14ac:dyDescent="0.2">
      <c r="B436" s="349"/>
      <c r="C436" s="328"/>
      <c r="D436" s="328"/>
      <c r="E436" s="328"/>
      <c r="F436" s="328"/>
      <c r="G436" s="328"/>
      <c r="H436" s="328"/>
      <c r="I436" s="328"/>
      <c r="J436" s="328"/>
      <c r="K436" s="328"/>
      <c r="L436" s="328"/>
      <c r="M436" s="328"/>
      <c r="N436" s="328"/>
    </row>
    <row r="437" spans="2:14" x14ac:dyDescent="0.2">
      <c r="B437" s="349"/>
      <c r="C437" s="328"/>
      <c r="D437" s="328"/>
      <c r="E437" s="328"/>
      <c r="F437" s="328"/>
      <c r="G437" s="328"/>
      <c r="H437" s="328"/>
      <c r="I437" s="328"/>
      <c r="J437" s="328"/>
      <c r="K437" s="328"/>
      <c r="L437" s="328"/>
      <c r="M437" s="328"/>
      <c r="N437" s="328"/>
    </row>
    <row r="438" spans="2:14" x14ac:dyDescent="0.2">
      <c r="B438" s="349"/>
      <c r="C438" s="328"/>
      <c r="D438" s="328"/>
      <c r="E438" s="328"/>
      <c r="F438" s="328"/>
      <c r="G438" s="328"/>
      <c r="H438" s="328"/>
      <c r="I438" s="328"/>
      <c r="J438" s="328"/>
      <c r="K438" s="328"/>
      <c r="L438" s="328"/>
      <c r="M438" s="328"/>
      <c r="N438" s="328"/>
    </row>
    <row r="439" spans="2:14" x14ac:dyDescent="0.2">
      <c r="B439" s="349"/>
      <c r="C439" s="328"/>
      <c r="D439" s="328"/>
      <c r="E439" s="328"/>
      <c r="F439" s="328"/>
      <c r="G439" s="328"/>
      <c r="H439" s="328"/>
      <c r="I439" s="328"/>
      <c r="J439" s="328"/>
      <c r="K439" s="328"/>
      <c r="L439" s="328"/>
      <c r="M439" s="328"/>
      <c r="N439" s="328"/>
    </row>
    <row r="440" spans="2:14" x14ac:dyDescent="0.2">
      <c r="B440" s="349"/>
      <c r="C440" s="328"/>
      <c r="D440" s="328"/>
      <c r="E440" s="328"/>
      <c r="F440" s="328"/>
      <c r="G440" s="328"/>
      <c r="H440" s="328"/>
      <c r="I440" s="328"/>
      <c r="J440" s="328"/>
      <c r="K440" s="328"/>
      <c r="L440" s="328"/>
      <c r="M440" s="328"/>
      <c r="N440" s="328"/>
    </row>
    <row r="441" spans="2:14" x14ac:dyDescent="0.2">
      <c r="B441" s="349"/>
      <c r="C441" s="328"/>
      <c r="D441" s="328"/>
      <c r="E441" s="328"/>
      <c r="F441" s="328"/>
      <c r="G441" s="328"/>
      <c r="H441" s="328"/>
      <c r="I441" s="328"/>
      <c r="J441" s="328"/>
      <c r="K441" s="328"/>
      <c r="L441" s="328"/>
      <c r="M441" s="328"/>
      <c r="N441" s="328"/>
    </row>
    <row r="442" spans="2:14" x14ac:dyDescent="0.2">
      <c r="B442" s="349"/>
      <c r="C442" s="328"/>
      <c r="D442" s="328"/>
      <c r="E442" s="328"/>
      <c r="F442" s="328"/>
      <c r="G442" s="328"/>
      <c r="H442" s="328"/>
      <c r="I442" s="328"/>
      <c r="J442" s="328"/>
      <c r="K442" s="328"/>
      <c r="L442" s="328"/>
      <c r="M442" s="328"/>
      <c r="N442" s="328"/>
    </row>
    <row r="443" spans="2:14" x14ac:dyDescent="0.2">
      <c r="B443" s="350"/>
      <c r="C443" s="328"/>
      <c r="D443" s="328"/>
      <c r="E443" s="328"/>
      <c r="F443" s="328"/>
      <c r="G443" s="328"/>
      <c r="H443" s="328"/>
      <c r="I443" s="328"/>
      <c r="J443" s="328"/>
      <c r="K443" s="328"/>
      <c r="L443" s="328"/>
      <c r="M443" s="328"/>
      <c r="N443" s="328"/>
    </row>
    <row r="444" spans="2:14" x14ac:dyDescent="0.2">
      <c r="B444" s="349"/>
      <c r="C444" s="328"/>
      <c r="D444" s="328"/>
      <c r="E444" s="328"/>
      <c r="F444" s="328"/>
      <c r="G444" s="328"/>
      <c r="H444" s="328"/>
      <c r="I444" s="328"/>
      <c r="J444" s="328"/>
      <c r="K444" s="328"/>
      <c r="L444" s="328"/>
      <c r="M444" s="328"/>
      <c r="N444" s="328"/>
    </row>
    <row r="445" spans="2:14" x14ac:dyDescent="0.2">
      <c r="B445" s="349"/>
      <c r="C445" s="328"/>
      <c r="D445" s="328"/>
      <c r="E445" s="328"/>
      <c r="F445" s="328"/>
      <c r="G445" s="328"/>
      <c r="H445" s="328"/>
      <c r="I445" s="328"/>
      <c r="J445" s="328"/>
      <c r="K445" s="328"/>
      <c r="L445" s="328"/>
      <c r="M445" s="328"/>
      <c r="N445" s="328"/>
    </row>
    <row r="446" spans="2:14" x14ac:dyDescent="0.2">
      <c r="B446" s="349"/>
      <c r="C446" s="328"/>
      <c r="D446" s="328"/>
      <c r="E446" s="328"/>
      <c r="F446" s="328"/>
      <c r="G446" s="328"/>
      <c r="H446" s="328"/>
      <c r="I446" s="328"/>
      <c r="J446" s="328"/>
      <c r="K446" s="328"/>
      <c r="L446" s="328"/>
      <c r="M446" s="328"/>
      <c r="N446" s="328"/>
    </row>
    <row r="447" spans="2:14" x14ac:dyDescent="0.2">
      <c r="B447" s="349"/>
      <c r="C447" s="328"/>
      <c r="D447" s="328"/>
      <c r="E447" s="328"/>
      <c r="F447" s="328"/>
      <c r="G447" s="328"/>
      <c r="H447" s="328"/>
      <c r="I447" s="328"/>
      <c r="J447" s="328"/>
      <c r="K447" s="328"/>
      <c r="L447" s="328"/>
      <c r="M447" s="328"/>
      <c r="N447" s="328"/>
    </row>
    <row r="448" spans="2:14" x14ac:dyDescent="0.2">
      <c r="B448" s="349"/>
      <c r="C448" s="328"/>
      <c r="D448" s="328"/>
      <c r="E448" s="328"/>
      <c r="F448" s="328"/>
      <c r="G448" s="328"/>
      <c r="H448" s="328"/>
      <c r="I448" s="328"/>
      <c r="J448" s="328"/>
      <c r="K448" s="328"/>
      <c r="L448" s="328"/>
      <c r="M448" s="328"/>
      <c r="N448" s="328"/>
    </row>
    <row r="449" spans="1:14" x14ac:dyDescent="0.2">
      <c r="B449" s="349"/>
      <c r="C449" s="328"/>
      <c r="D449" s="328"/>
      <c r="E449" s="328"/>
      <c r="F449" s="328"/>
      <c r="G449" s="328"/>
      <c r="H449" s="328"/>
      <c r="I449" s="328"/>
      <c r="J449" s="328"/>
      <c r="K449" s="328"/>
      <c r="L449" s="328"/>
      <c r="M449" s="328"/>
      <c r="N449" s="328"/>
    </row>
    <row r="450" spans="1:14" x14ac:dyDescent="0.2">
      <c r="B450" s="349"/>
      <c r="C450" s="328"/>
      <c r="D450" s="328"/>
      <c r="E450" s="328"/>
      <c r="F450" s="328"/>
      <c r="G450" s="328"/>
      <c r="H450" s="328"/>
      <c r="I450" s="328"/>
      <c r="J450" s="328"/>
      <c r="K450" s="328"/>
      <c r="L450" s="328"/>
      <c r="M450" s="328"/>
      <c r="N450" s="328"/>
    </row>
    <row r="451" spans="1:14" x14ac:dyDescent="0.2">
      <c r="B451" s="349"/>
      <c r="C451" s="328"/>
      <c r="D451" s="328"/>
      <c r="E451" s="328"/>
      <c r="F451" s="328"/>
      <c r="G451" s="328"/>
      <c r="H451" s="328"/>
      <c r="I451" s="328"/>
      <c r="J451" s="328"/>
      <c r="K451" s="328"/>
      <c r="L451" s="328"/>
      <c r="M451" s="328"/>
      <c r="N451" s="328"/>
    </row>
    <row r="452" spans="1:14" x14ac:dyDescent="0.2">
      <c r="B452" s="349"/>
      <c r="C452" s="328"/>
      <c r="D452" s="328"/>
      <c r="E452" s="328"/>
      <c r="F452" s="328"/>
      <c r="G452" s="328"/>
      <c r="H452" s="328"/>
      <c r="I452" s="328"/>
      <c r="J452" s="328"/>
      <c r="K452" s="328"/>
      <c r="L452" s="328"/>
      <c r="M452" s="328"/>
      <c r="N452" s="328"/>
    </row>
    <row r="453" spans="1:14" x14ac:dyDescent="0.2">
      <c r="B453" s="349"/>
      <c r="C453" s="328"/>
      <c r="D453" s="328"/>
      <c r="E453" s="328"/>
      <c r="F453" s="328"/>
      <c r="G453" s="328"/>
      <c r="H453" s="328"/>
      <c r="I453" s="328"/>
      <c r="J453" s="328"/>
      <c r="K453" s="328"/>
      <c r="L453" s="328"/>
      <c r="M453" s="328"/>
      <c r="N453" s="328"/>
    </row>
    <row r="454" spans="1:14" x14ac:dyDescent="0.2">
      <c r="B454" s="349"/>
      <c r="C454" s="328"/>
      <c r="D454" s="328"/>
      <c r="E454" s="328"/>
      <c r="F454" s="328"/>
      <c r="G454" s="328"/>
      <c r="H454" s="328"/>
      <c r="I454" s="328"/>
      <c r="J454" s="328"/>
      <c r="K454" s="328"/>
      <c r="L454" s="328"/>
      <c r="M454" s="328"/>
      <c r="N454" s="328"/>
    </row>
    <row r="455" spans="1:14" x14ac:dyDescent="0.2">
      <c r="B455" s="349"/>
      <c r="C455" s="328"/>
      <c r="D455" s="328"/>
      <c r="E455" s="328"/>
      <c r="F455" s="328"/>
      <c r="G455" s="328"/>
      <c r="H455" s="328"/>
      <c r="I455" s="328"/>
      <c r="J455" s="328"/>
      <c r="K455" s="328"/>
      <c r="L455" s="328"/>
      <c r="M455" s="328"/>
      <c r="N455" s="328"/>
    </row>
    <row r="456" spans="1:14" x14ac:dyDescent="0.2">
      <c r="B456" s="349"/>
      <c r="C456" s="328"/>
      <c r="D456" s="328"/>
      <c r="E456" s="328"/>
      <c r="F456" s="328"/>
      <c r="G456" s="328"/>
      <c r="H456" s="328"/>
      <c r="I456" s="328"/>
      <c r="J456" s="328"/>
      <c r="K456" s="328"/>
      <c r="L456" s="328"/>
      <c r="M456" s="328"/>
      <c r="N456" s="328"/>
    </row>
    <row r="457" spans="1:14" x14ac:dyDescent="0.2">
      <c r="B457" s="349"/>
      <c r="C457" s="328"/>
      <c r="D457" s="328"/>
      <c r="E457" s="328"/>
      <c r="F457" s="328"/>
      <c r="G457" s="328"/>
      <c r="H457" s="328"/>
      <c r="I457" s="328"/>
      <c r="J457" s="328"/>
      <c r="K457" s="328"/>
      <c r="L457" s="328"/>
      <c r="M457" s="328"/>
      <c r="N457" s="328"/>
    </row>
    <row r="458" spans="1:14" x14ac:dyDescent="0.2">
      <c r="B458" s="344"/>
      <c r="C458" s="334"/>
      <c r="D458" s="334"/>
      <c r="E458" s="334"/>
      <c r="F458" s="334"/>
      <c r="G458" s="334"/>
      <c r="H458" s="334"/>
      <c r="I458" s="334"/>
      <c r="J458" s="334"/>
      <c r="K458" s="334"/>
      <c r="L458" s="334"/>
      <c r="M458" s="334"/>
      <c r="N458" s="334"/>
    </row>
    <row r="459" spans="1:14" x14ac:dyDescent="0.2">
      <c r="B459" s="345"/>
    </row>
    <row r="460" spans="1:14" x14ac:dyDescent="0.2">
      <c r="C460" s="328"/>
      <c r="D460" s="328"/>
      <c r="E460" s="328"/>
      <c r="F460" s="328"/>
      <c r="G460" s="328"/>
      <c r="H460" s="328"/>
      <c r="I460" s="328"/>
      <c r="J460" s="328"/>
      <c r="K460" s="328"/>
      <c r="L460" s="328"/>
      <c r="M460" s="328"/>
      <c r="N460" s="328"/>
    </row>
    <row r="461" spans="1:14" x14ac:dyDescent="0.2">
      <c r="B461" s="344"/>
      <c r="C461" s="334"/>
      <c r="D461" s="334"/>
      <c r="E461" s="334"/>
      <c r="F461" s="334"/>
      <c r="G461" s="334"/>
      <c r="H461" s="334"/>
      <c r="I461" s="334"/>
      <c r="J461" s="334"/>
      <c r="K461" s="334"/>
      <c r="L461" s="334"/>
      <c r="M461" s="334"/>
      <c r="N461" s="334"/>
    </row>
    <row r="462" spans="1:14" x14ac:dyDescent="0.2">
      <c r="A462" s="335"/>
      <c r="B462" s="345"/>
    </row>
    <row r="463" spans="1:14" x14ac:dyDescent="0.2">
      <c r="A463" s="337"/>
      <c r="B463" s="349"/>
      <c r="C463" s="328"/>
      <c r="D463" s="328"/>
      <c r="E463" s="328"/>
      <c r="F463" s="328"/>
      <c r="G463" s="328"/>
      <c r="H463" s="328"/>
      <c r="I463" s="328"/>
      <c r="J463" s="328"/>
      <c r="K463" s="328"/>
      <c r="L463" s="328"/>
      <c r="M463" s="328"/>
      <c r="N463" s="328"/>
    </row>
    <row r="464" spans="1:14" x14ac:dyDescent="0.2">
      <c r="A464" s="337"/>
      <c r="B464" s="349"/>
      <c r="C464" s="328"/>
      <c r="D464" s="328"/>
      <c r="E464" s="328"/>
      <c r="F464" s="328"/>
      <c r="G464" s="328"/>
      <c r="H464" s="328"/>
      <c r="I464" s="328"/>
      <c r="J464" s="328"/>
      <c r="K464" s="328"/>
      <c r="L464" s="328"/>
      <c r="M464" s="328"/>
      <c r="N464" s="328"/>
    </row>
    <row r="465" spans="1:14" x14ac:dyDescent="0.2">
      <c r="A465" s="337"/>
      <c r="B465" s="349"/>
      <c r="C465" s="328"/>
      <c r="D465" s="328"/>
      <c r="E465" s="328"/>
      <c r="F465" s="328"/>
      <c r="G465" s="328"/>
      <c r="H465" s="328"/>
      <c r="I465" s="328"/>
      <c r="J465" s="328"/>
      <c r="K465" s="328"/>
      <c r="L465" s="328"/>
      <c r="M465" s="328"/>
      <c r="N465" s="328"/>
    </row>
    <row r="466" spans="1:14" x14ac:dyDescent="0.2">
      <c r="A466" s="337"/>
      <c r="B466" s="349"/>
      <c r="C466" s="328"/>
      <c r="D466" s="328"/>
      <c r="E466" s="328"/>
      <c r="F466" s="328"/>
      <c r="G466" s="328"/>
      <c r="H466" s="328"/>
      <c r="I466" s="328"/>
      <c r="J466" s="328"/>
      <c r="K466" s="328"/>
      <c r="L466" s="328"/>
      <c r="M466" s="328"/>
      <c r="N466" s="328"/>
    </row>
    <row r="467" spans="1:14" x14ac:dyDescent="0.2">
      <c r="A467" s="337"/>
      <c r="B467" s="349"/>
      <c r="C467" s="328"/>
      <c r="D467" s="328"/>
      <c r="E467" s="328"/>
      <c r="F467" s="328"/>
      <c r="G467" s="328"/>
      <c r="H467" s="328"/>
      <c r="I467" s="328"/>
      <c r="J467" s="328"/>
      <c r="K467" s="328"/>
      <c r="L467" s="328"/>
      <c r="M467" s="328"/>
      <c r="N467" s="328"/>
    </row>
    <row r="468" spans="1:14" x14ac:dyDescent="0.2">
      <c r="A468" s="337"/>
      <c r="B468" s="349"/>
      <c r="C468" s="328"/>
      <c r="D468" s="328"/>
      <c r="E468" s="328"/>
      <c r="F468" s="328"/>
      <c r="G468" s="328"/>
      <c r="H468" s="328"/>
      <c r="I468" s="328"/>
      <c r="J468" s="328"/>
      <c r="K468" s="328"/>
      <c r="L468" s="328"/>
      <c r="M468" s="328"/>
      <c r="N468" s="328"/>
    </row>
    <row r="469" spans="1:14" x14ac:dyDescent="0.2">
      <c r="A469" s="337"/>
      <c r="B469" s="349"/>
      <c r="C469" s="328"/>
      <c r="D469" s="328"/>
      <c r="E469" s="328"/>
      <c r="F469" s="328"/>
      <c r="G469" s="328"/>
      <c r="H469" s="328"/>
      <c r="I469" s="328"/>
      <c r="J469" s="328"/>
      <c r="K469" s="328"/>
      <c r="L469" s="328"/>
      <c r="M469" s="328"/>
      <c r="N469" s="328"/>
    </row>
    <row r="470" spans="1:14" x14ac:dyDescent="0.2">
      <c r="A470" s="337"/>
      <c r="B470" s="349"/>
      <c r="C470" s="328"/>
      <c r="D470" s="328"/>
      <c r="E470" s="328"/>
      <c r="F470" s="328"/>
      <c r="G470" s="328"/>
      <c r="H470" s="328"/>
      <c r="I470" s="328"/>
      <c r="J470" s="328"/>
      <c r="K470" s="328"/>
      <c r="L470" s="328"/>
      <c r="M470" s="328"/>
      <c r="N470" s="328"/>
    </row>
    <row r="471" spans="1:14" x14ac:dyDescent="0.2">
      <c r="A471" s="337"/>
      <c r="B471" s="349"/>
      <c r="C471" s="328"/>
      <c r="D471" s="328"/>
      <c r="E471" s="328"/>
      <c r="F471" s="328"/>
      <c r="G471" s="328"/>
      <c r="H471" s="328"/>
      <c r="I471" s="328"/>
      <c r="J471" s="328"/>
      <c r="K471" s="328"/>
      <c r="L471" s="328"/>
      <c r="M471" s="328"/>
      <c r="N471" s="328"/>
    </row>
    <row r="472" spans="1:14" x14ac:dyDescent="0.2">
      <c r="A472" s="337"/>
      <c r="B472" s="350"/>
      <c r="C472" s="328"/>
      <c r="D472" s="328"/>
      <c r="E472" s="328"/>
      <c r="F472" s="328"/>
      <c r="G472" s="328"/>
      <c r="H472" s="328"/>
      <c r="I472" s="328"/>
      <c r="J472" s="328"/>
      <c r="K472" s="328"/>
      <c r="L472" s="328"/>
      <c r="M472" s="328"/>
      <c r="N472" s="328"/>
    </row>
    <row r="473" spans="1:14" x14ac:dyDescent="0.2">
      <c r="A473" s="337"/>
      <c r="B473" s="349"/>
      <c r="C473" s="328"/>
      <c r="D473" s="328"/>
      <c r="E473" s="328"/>
      <c r="F473" s="328"/>
      <c r="G473" s="328"/>
      <c r="H473" s="328"/>
      <c r="I473" s="328"/>
      <c r="J473" s="328"/>
      <c r="K473" s="328"/>
      <c r="L473" s="328"/>
      <c r="M473" s="328"/>
      <c r="N473" s="328"/>
    </row>
    <row r="474" spans="1:14" x14ac:dyDescent="0.2">
      <c r="A474" s="337"/>
      <c r="B474" s="349"/>
      <c r="C474" s="328"/>
      <c r="D474" s="328"/>
      <c r="E474" s="328"/>
      <c r="F474" s="328"/>
      <c r="G474" s="328"/>
      <c r="H474" s="328"/>
      <c r="I474" s="328"/>
      <c r="J474" s="328"/>
      <c r="K474" s="328"/>
      <c r="L474" s="328"/>
      <c r="M474" s="328"/>
      <c r="N474" s="328"/>
    </row>
    <row r="475" spans="1:14" x14ac:dyDescent="0.2">
      <c r="A475" s="337"/>
      <c r="B475" s="349"/>
      <c r="C475" s="328"/>
      <c r="D475" s="328"/>
      <c r="E475" s="328"/>
      <c r="F475" s="328"/>
      <c r="G475" s="328"/>
      <c r="H475" s="328"/>
      <c r="I475" s="328"/>
      <c r="J475" s="328"/>
      <c r="K475" s="328"/>
      <c r="L475" s="328"/>
      <c r="M475" s="328"/>
      <c r="N475" s="328"/>
    </row>
    <row r="476" spans="1:14" x14ac:dyDescent="0.2">
      <c r="A476" s="337"/>
      <c r="B476" s="349"/>
      <c r="C476" s="328"/>
      <c r="D476" s="328"/>
      <c r="E476" s="328"/>
      <c r="F476" s="328"/>
      <c r="G476" s="328"/>
      <c r="H476" s="328"/>
      <c r="I476" s="328"/>
      <c r="J476" s="328"/>
      <c r="K476" s="328"/>
      <c r="L476" s="328"/>
      <c r="M476" s="328"/>
      <c r="N476" s="328"/>
    </row>
    <row r="477" spans="1:14" x14ac:dyDescent="0.2">
      <c r="A477" s="337"/>
      <c r="B477" s="349"/>
      <c r="C477" s="328"/>
      <c r="D477" s="328"/>
      <c r="E477" s="328"/>
      <c r="F477" s="328"/>
      <c r="G477" s="328"/>
      <c r="H477" s="328"/>
      <c r="I477" s="328"/>
      <c r="J477" s="328"/>
      <c r="K477" s="328"/>
      <c r="L477" s="328"/>
      <c r="M477" s="328"/>
      <c r="N477" s="328"/>
    </row>
    <row r="478" spans="1:14" x14ac:dyDescent="0.2">
      <c r="A478" s="337"/>
      <c r="B478" s="349"/>
      <c r="C478" s="328"/>
      <c r="D478" s="328"/>
      <c r="E478" s="328"/>
      <c r="F478" s="328"/>
      <c r="G478" s="328"/>
      <c r="H478" s="328"/>
      <c r="I478" s="328"/>
      <c r="J478" s="328"/>
      <c r="K478" s="328"/>
      <c r="L478" s="328"/>
      <c r="M478" s="328"/>
      <c r="N478" s="328"/>
    </row>
    <row r="479" spans="1:14" x14ac:dyDescent="0.2">
      <c r="A479" s="337"/>
      <c r="B479" s="349"/>
      <c r="C479" s="328"/>
      <c r="D479" s="328"/>
      <c r="E479" s="328"/>
      <c r="F479" s="328"/>
      <c r="G479" s="328"/>
      <c r="H479" s="328"/>
      <c r="I479" s="328"/>
      <c r="J479" s="328"/>
      <c r="K479" s="328"/>
      <c r="L479" s="328"/>
      <c r="M479" s="328"/>
      <c r="N479" s="328"/>
    </row>
    <row r="480" spans="1:14" x14ac:dyDescent="0.2">
      <c r="A480" s="337"/>
      <c r="B480" s="349"/>
      <c r="C480" s="328"/>
      <c r="D480" s="328"/>
      <c r="E480" s="328"/>
      <c r="F480" s="328"/>
      <c r="G480" s="328"/>
      <c r="H480" s="328"/>
      <c r="I480" s="328"/>
      <c r="J480" s="328"/>
      <c r="K480" s="328"/>
      <c r="L480" s="328"/>
      <c r="M480" s="328"/>
      <c r="N480" s="328"/>
    </row>
    <row r="481" spans="1:14" x14ac:dyDescent="0.2">
      <c r="A481" s="337"/>
      <c r="B481" s="349"/>
      <c r="C481" s="328"/>
      <c r="D481" s="328"/>
      <c r="E481" s="328"/>
      <c r="F481" s="328"/>
      <c r="G481" s="328"/>
      <c r="H481" s="328"/>
      <c r="I481" s="328"/>
      <c r="J481" s="328"/>
      <c r="K481" s="328"/>
      <c r="L481" s="328"/>
      <c r="M481" s="328"/>
      <c r="N481" s="328"/>
    </row>
    <row r="482" spans="1:14" x14ac:dyDescent="0.2">
      <c r="A482" s="337"/>
      <c r="B482" s="349"/>
      <c r="C482" s="328"/>
      <c r="D482" s="328"/>
      <c r="E482" s="328"/>
      <c r="F482" s="328"/>
      <c r="G482" s="328"/>
      <c r="H482" s="328"/>
      <c r="I482" s="328"/>
      <c r="J482" s="328"/>
      <c r="K482" s="328"/>
      <c r="L482" s="328"/>
      <c r="M482" s="328"/>
      <c r="N482" s="328"/>
    </row>
    <row r="483" spans="1:14" x14ac:dyDescent="0.2">
      <c r="A483" s="337"/>
      <c r="B483" s="349"/>
      <c r="C483" s="328"/>
      <c r="D483" s="328"/>
      <c r="E483" s="328"/>
      <c r="F483" s="328"/>
      <c r="G483" s="328"/>
      <c r="H483" s="328"/>
      <c r="I483" s="328"/>
      <c r="J483" s="328"/>
      <c r="K483" s="328"/>
      <c r="L483" s="328"/>
      <c r="M483" s="328"/>
      <c r="N483" s="328"/>
    </row>
    <row r="484" spans="1:14" x14ac:dyDescent="0.2">
      <c r="A484" s="337"/>
      <c r="B484" s="349"/>
      <c r="C484" s="328"/>
      <c r="D484" s="328"/>
      <c r="E484" s="328"/>
      <c r="F484" s="328"/>
      <c r="G484" s="328"/>
      <c r="H484" s="328"/>
      <c r="I484" s="328"/>
      <c r="J484" s="328"/>
      <c r="K484" s="328"/>
      <c r="L484" s="328"/>
      <c r="M484" s="328"/>
      <c r="N484" s="328"/>
    </row>
    <row r="485" spans="1:14" x14ac:dyDescent="0.2">
      <c r="A485" s="337"/>
      <c r="B485" s="349"/>
      <c r="C485" s="328"/>
      <c r="D485" s="328"/>
      <c r="E485" s="328"/>
      <c r="F485" s="328"/>
      <c r="G485" s="328"/>
      <c r="H485" s="328"/>
      <c r="I485" s="328"/>
      <c r="J485" s="328"/>
      <c r="K485" s="328"/>
      <c r="L485" s="328"/>
      <c r="M485" s="328"/>
      <c r="N485" s="328"/>
    </row>
    <row r="486" spans="1:14" x14ac:dyDescent="0.2">
      <c r="A486" s="337"/>
      <c r="B486" s="349"/>
      <c r="C486" s="328"/>
      <c r="D486" s="328"/>
      <c r="E486" s="328"/>
      <c r="F486" s="328"/>
      <c r="G486" s="328"/>
      <c r="H486" s="328"/>
      <c r="I486" s="328"/>
      <c r="J486" s="328"/>
      <c r="K486" s="328"/>
      <c r="L486" s="328"/>
      <c r="M486" s="328"/>
      <c r="N486" s="328"/>
    </row>
    <row r="487" spans="1:14" x14ac:dyDescent="0.2">
      <c r="B487" s="344"/>
      <c r="C487" s="334"/>
      <c r="D487" s="334"/>
      <c r="E487" s="334"/>
      <c r="F487" s="334"/>
      <c r="G487" s="334"/>
      <c r="H487" s="334"/>
      <c r="I487" s="334"/>
      <c r="J487" s="334"/>
      <c r="K487" s="334"/>
      <c r="L487" s="334"/>
      <c r="M487" s="334"/>
      <c r="N487" s="334"/>
    </row>
    <row r="488" spans="1:14" x14ac:dyDescent="0.2">
      <c r="B488" s="345"/>
      <c r="C488" s="328"/>
      <c r="D488" s="328"/>
      <c r="E488" s="328"/>
      <c r="F488" s="328"/>
      <c r="G488" s="328"/>
      <c r="H488" s="328"/>
      <c r="I488" s="328"/>
      <c r="J488" s="328"/>
      <c r="K488" s="328"/>
      <c r="L488" s="328"/>
      <c r="M488" s="328"/>
      <c r="N488" s="328"/>
    </row>
    <row r="489" spans="1:14" x14ac:dyDescent="0.2">
      <c r="B489" s="349"/>
      <c r="C489" s="328"/>
      <c r="D489" s="328"/>
      <c r="E489" s="328"/>
      <c r="F489" s="328"/>
      <c r="G489" s="328"/>
      <c r="H489" s="328"/>
      <c r="I489" s="328"/>
      <c r="J489" s="328"/>
      <c r="K489" s="328"/>
      <c r="L489" s="328"/>
      <c r="M489" s="328"/>
      <c r="N489" s="328"/>
    </row>
    <row r="490" spans="1:14" x14ac:dyDescent="0.2">
      <c r="B490" s="349"/>
      <c r="C490" s="328"/>
      <c r="D490" s="328"/>
      <c r="E490" s="328"/>
      <c r="F490" s="328"/>
      <c r="G490" s="328"/>
      <c r="H490" s="328"/>
      <c r="I490" s="328"/>
      <c r="J490" s="328"/>
      <c r="K490" s="328"/>
      <c r="L490" s="328"/>
      <c r="M490" s="328"/>
      <c r="N490" s="328"/>
    </row>
    <row r="491" spans="1:14" x14ac:dyDescent="0.2">
      <c r="B491" s="349"/>
      <c r="C491" s="328"/>
      <c r="D491" s="328"/>
      <c r="E491" s="328"/>
      <c r="F491" s="328"/>
      <c r="G491" s="328"/>
      <c r="H491" s="328"/>
      <c r="I491" s="328"/>
      <c r="J491" s="328"/>
      <c r="K491" s="328"/>
      <c r="L491" s="328"/>
      <c r="M491" s="328"/>
      <c r="N491" s="328"/>
    </row>
    <row r="492" spans="1:14" x14ac:dyDescent="0.2">
      <c r="B492" s="349"/>
      <c r="C492" s="328"/>
      <c r="D492" s="328"/>
      <c r="E492" s="328"/>
      <c r="F492" s="328"/>
      <c r="G492" s="328"/>
      <c r="H492" s="328"/>
      <c r="I492" s="328"/>
      <c r="J492" s="328"/>
      <c r="K492" s="328"/>
      <c r="L492" s="328"/>
      <c r="M492" s="328"/>
      <c r="N492" s="328"/>
    </row>
    <row r="493" spans="1:14" x14ac:dyDescent="0.2">
      <c r="B493" s="349"/>
      <c r="C493" s="328"/>
      <c r="D493" s="328"/>
      <c r="E493" s="328"/>
      <c r="F493" s="328"/>
      <c r="G493" s="328"/>
      <c r="H493" s="328"/>
      <c r="I493" s="328"/>
      <c r="J493" s="328"/>
      <c r="K493" s="328"/>
      <c r="L493" s="328"/>
      <c r="M493" s="328"/>
      <c r="N493" s="328"/>
    </row>
    <row r="494" spans="1:14" x14ac:dyDescent="0.2">
      <c r="B494" s="349"/>
      <c r="C494" s="328"/>
      <c r="D494" s="328"/>
      <c r="E494" s="328"/>
      <c r="F494" s="328"/>
      <c r="G494" s="328"/>
      <c r="H494" s="328"/>
      <c r="I494" s="328"/>
      <c r="J494" s="328"/>
      <c r="K494" s="328"/>
      <c r="L494" s="328"/>
      <c r="M494" s="328"/>
      <c r="N494" s="328"/>
    </row>
    <row r="495" spans="1:14" x14ac:dyDescent="0.2">
      <c r="B495" s="349"/>
      <c r="C495" s="328"/>
      <c r="D495" s="328"/>
      <c r="E495" s="328"/>
      <c r="F495" s="328"/>
      <c r="G495" s="328"/>
      <c r="H495" s="328"/>
      <c r="I495" s="328"/>
      <c r="J495" s="328"/>
      <c r="K495" s="328"/>
      <c r="L495" s="328"/>
      <c r="M495" s="328"/>
      <c r="N495" s="328"/>
    </row>
    <row r="496" spans="1:14" x14ac:dyDescent="0.2">
      <c r="B496" s="349"/>
      <c r="C496" s="328"/>
      <c r="D496" s="328"/>
      <c r="E496" s="328"/>
      <c r="F496" s="328"/>
      <c r="G496" s="328"/>
      <c r="H496" s="328"/>
      <c r="I496" s="328"/>
      <c r="J496" s="328"/>
      <c r="K496" s="328"/>
      <c r="L496" s="328"/>
      <c r="M496" s="328"/>
      <c r="N496" s="328"/>
    </row>
    <row r="497" spans="2:14" x14ac:dyDescent="0.2">
      <c r="B497" s="349"/>
      <c r="C497" s="328"/>
      <c r="D497" s="328"/>
      <c r="E497" s="328"/>
      <c r="F497" s="328"/>
      <c r="G497" s="328"/>
      <c r="H497" s="328"/>
      <c r="I497" s="328"/>
      <c r="J497" s="328"/>
      <c r="K497" s="328"/>
      <c r="L497" s="328"/>
      <c r="M497" s="328"/>
      <c r="N497" s="328"/>
    </row>
    <row r="498" spans="2:14" x14ac:dyDescent="0.2">
      <c r="B498" s="350"/>
      <c r="C498" s="328"/>
      <c r="D498" s="328"/>
      <c r="E498" s="328"/>
      <c r="F498" s="328"/>
      <c r="G498" s="328"/>
      <c r="H498" s="328"/>
      <c r="I498" s="328"/>
      <c r="J498" s="328"/>
      <c r="K498" s="328"/>
      <c r="L498" s="328"/>
      <c r="M498" s="328"/>
      <c r="N498" s="328"/>
    </row>
    <row r="499" spans="2:14" x14ac:dyDescent="0.2">
      <c r="B499" s="349"/>
      <c r="C499" s="328"/>
      <c r="D499" s="328"/>
      <c r="E499" s="328"/>
      <c r="F499" s="328"/>
      <c r="G499" s="328"/>
      <c r="H499" s="328"/>
      <c r="I499" s="328"/>
      <c r="J499" s="328"/>
      <c r="K499" s="328"/>
      <c r="L499" s="328"/>
      <c r="M499" s="328"/>
      <c r="N499" s="328"/>
    </row>
    <row r="500" spans="2:14" x14ac:dyDescent="0.2">
      <c r="B500" s="349"/>
      <c r="C500" s="328"/>
      <c r="D500" s="328"/>
      <c r="E500" s="328"/>
      <c r="F500" s="328"/>
      <c r="G500" s="328"/>
      <c r="H500" s="328"/>
      <c r="I500" s="328"/>
      <c r="J500" s="328"/>
      <c r="K500" s="328"/>
      <c r="L500" s="328"/>
      <c r="M500" s="328"/>
      <c r="N500" s="328"/>
    </row>
    <row r="501" spans="2:14" x14ac:dyDescent="0.2">
      <c r="B501" s="349"/>
      <c r="C501" s="328"/>
      <c r="D501" s="328"/>
      <c r="E501" s="328"/>
      <c r="F501" s="328"/>
      <c r="G501" s="328"/>
      <c r="H501" s="328"/>
      <c r="I501" s="328"/>
      <c r="J501" s="328"/>
      <c r="K501" s="328"/>
      <c r="L501" s="328"/>
      <c r="M501" s="328"/>
      <c r="N501" s="328"/>
    </row>
    <row r="502" spans="2:14" x14ac:dyDescent="0.2">
      <c r="B502" s="349"/>
      <c r="C502" s="328"/>
      <c r="D502" s="328"/>
      <c r="E502" s="328"/>
      <c r="F502" s="328"/>
      <c r="G502" s="328"/>
      <c r="H502" s="328"/>
      <c r="I502" s="328"/>
      <c r="J502" s="328"/>
      <c r="K502" s="328"/>
      <c r="L502" s="328"/>
      <c r="M502" s="328"/>
      <c r="N502" s="328"/>
    </row>
    <row r="503" spans="2:14" x14ac:dyDescent="0.2">
      <c r="B503" s="349"/>
      <c r="C503" s="328"/>
      <c r="D503" s="328"/>
      <c r="E503" s="328"/>
      <c r="F503" s="328"/>
      <c r="G503" s="328"/>
      <c r="H503" s="328"/>
      <c r="I503" s="328"/>
      <c r="J503" s="328"/>
      <c r="K503" s="328"/>
      <c r="L503" s="328"/>
      <c r="M503" s="328"/>
      <c r="N503" s="328"/>
    </row>
    <row r="504" spans="2:14" x14ac:dyDescent="0.2">
      <c r="B504" s="349"/>
      <c r="C504" s="328"/>
      <c r="D504" s="328"/>
      <c r="E504" s="328"/>
      <c r="F504" s="328"/>
      <c r="G504" s="328"/>
      <c r="H504" s="328"/>
      <c r="I504" s="328"/>
      <c r="J504" s="328"/>
      <c r="K504" s="328"/>
      <c r="L504" s="328"/>
      <c r="M504" s="328"/>
      <c r="N504" s="328"/>
    </row>
    <row r="505" spans="2:14" x14ac:dyDescent="0.2">
      <c r="B505" s="349"/>
      <c r="C505" s="328"/>
      <c r="D505" s="328"/>
      <c r="E505" s="328"/>
      <c r="F505" s="328"/>
      <c r="G505" s="328"/>
      <c r="H505" s="328"/>
      <c r="I505" s="328"/>
      <c r="J505" s="328"/>
      <c r="K505" s="328"/>
      <c r="L505" s="328"/>
      <c r="M505" s="328"/>
      <c r="N505" s="328"/>
    </row>
    <row r="506" spans="2:14" x14ac:dyDescent="0.2">
      <c r="B506" s="349"/>
      <c r="C506" s="328"/>
      <c r="D506" s="328"/>
      <c r="E506" s="328"/>
      <c r="F506" s="328"/>
      <c r="G506" s="328"/>
      <c r="H506" s="328"/>
      <c r="I506" s="328"/>
      <c r="J506" s="328"/>
      <c r="K506" s="328"/>
      <c r="L506" s="328"/>
      <c r="M506" s="328"/>
      <c r="N506" s="328"/>
    </row>
    <row r="507" spans="2:14" x14ac:dyDescent="0.2">
      <c r="B507" s="349"/>
      <c r="C507" s="328"/>
      <c r="D507" s="328"/>
      <c r="E507" s="328"/>
      <c r="F507" s="328"/>
      <c r="G507" s="328"/>
      <c r="H507" s="328"/>
      <c r="I507" s="328"/>
      <c r="J507" s="328"/>
      <c r="K507" s="328"/>
      <c r="L507" s="328"/>
      <c r="M507" s="328"/>
      <c r="N507" s="328"/>
    </row>
    <row r="508" spans="2:14" x14ac:dyDescent="0.2">
      <c r="B508" s="349"/>
      <c r="C508" s="328"/>
      <c r="D508" s="328"/>
      <c r="E508" s="328"/>
      <c r="F508" s="328"/>
      <c r="G508" s="328"/>
      <c r="H508" s="328"/>
      <c r="I508" s="328"/>
      <c r="J508" s="328"/>
      <c r="K508" s="328"/>
      <c r="L508" s="328"/>
      <c r="M508" s="328"/>
      <c r="N508" s="328"/>
    </row>
    <row r="509" spans="2:14" x14ac:dyDescent="0.2">
      <c r="B509" s="349"/>
      <c r="C509" s="328"/>
      <c r="D509" s="328"/>
      <c r="E509" s="328"/>
      <c r="F509" s="328"/>
      <c r="G509" s="328"/>
      <c r="H509" s="328"/>
      <c r="I509" s="328"/>
      <c r="J509" s="328"/>
      <c r="K509" s="328"/>
      <c r="L509" s="328"/>
      <c r="M509" s="328"/>
      <c r="N509" s="328"/>
    </row>
    <row r="510" spans="2:14" x14ac:dyDescent="0.2">
      <c r="B510" s="349"/>
      <c r="C510" s="328"/>
      <c r="D510" s="328"/>
      <c r="E510" s="328"/>
      <c r="F510" s="328"/>
      <c r="G510" s="328"/>
      <c r="H510" s="328"/>
      <c r="I510" s="328"/>
      <c r="J510" s="328"/>
      <c r="K510" s="328"/>
      <c r="L510" s="328"/>
      <c r="M510" s="328"/>
      <c r="N510" s="328"/>
    </row>
    <row r="511" spans="2:14" x14ac:dyDescent="0.2">
      <c r="B511" s="349"/>
      <c r="C511" s="328"/>
      <c r="D511" s="328"/>
      <c r="E511" s="328"/>
      <c r="F511" s="328"/>
      <c r="G511" s="328"/>
      <c r="H511" s="328"/>
      <c r="I511" s="328"/>
      <c r="J511" s="328"/>
      <c r="K511" s="328"/>
      <c r="L511" s="328"/>
      <c r="M511" s="328"/>
      <c r="N511" s="328"/>
    </row>
    <row r="512" spans="2:14" x14ac:dyDescent="0.2">
      <c r="B512" s="349"/>
      <c r="C512" s="328"/>
      <c r="D512" s="328"/>
      <c r="E512" s="328"/>
      <c r="F512" s="328"/>
      <c r="G512" s="328"/>
      <c r="H512" s="328"/>
      <c r="I512" s="328"/>
      <c r="J512" s="328"/>
      <c r="K512" s="328"/>
      <c r="L512" s="328"/>
      <c r="M512" s="328"/>
      <c r="N512" s="328"/>
    </row>
    <row r="513" spans="1:14" x14ac:dyDescent="0.2">
      <c r="B513" s="344"/>
      <c r="C513" s="334"/>
      <c r="D513" s="334"/>
      <c r="E513" s="334"/>
      <c r="F513" s="334"/>
      <c r="G513" s="334"/>
      <c r="H513" s="334"/>
      <c r="I513" s="334"/>
      <c r="J513" s="334"/>
      <c r="K513" s="334"/>
      <c r="L513" s="334"/>
      <c r="M513" s="334"/>
      <c r="N513" s="334"/>
    </row>
    <row r="514" spans="1:14" x14ac:dyDescent="0.2">
      <c r="B514" s="345"/>
    </row>
    <row r="515" spans="1:14" x14ac:dyDescent="0.2">
      <c r="C515" s="328"/>
      <c r="D515" s="328"/>
      <c r="E515" s="328"/>
      <c r="F515" s="328"/>
      <c r="G515" s="328"/>
      <c r="H515" s="328"/>
      <c r="I515" s="328"/>
      <c r="J515" s="328"/>
      <c r="K515" s="328"/>
      <c r="L515" s="328"/>
      <c r="M515" s="328"/>
      <c r="N515" s="328"/>
    </row>
    <row r="516" spans="1:14" x14ac:dyDescent="0.2">
      <c r="B516" s="344"/>
      <c r="C516" s="334"/>
      <c r="D516" s="334"/>
      <c r="E516" s="334"/>
      <c r="F516" s="334"/>
      <c r="G516" s="334"/>
      <c r="H516" s="334"/>
      <c r="I516" s="334"/>
      <c r="J516" s="334"/>
      <c r="K516" s="334"/>
      <c r="L516" s="334"/>
      <c r="M516" s="334"/>
      <c r="N516" s="334"/>
    </row>
    <row r="518" spans="1:14" ht="18.75" x14ac:dyDescent="0.2">
      <c r="A518" s="339"/>
      <c r="B518" s="346"/>
      <c r="C518" s="332"/>
      <c r="D518" s="332"/>
      <c r="E518" s="332"/>
      <c r="F518" s="332"/>
      <c r="G518" s="332"/>
      <c r="H518" s="332"/>
      <c r="I518" s="332"/>
      <c r="J518" s="332"/>
      <c r="K518" s="332"/>
      <c r="L518" s="332"/>
      <c r="M518" s="332"/>
      <c r="N518" s="332"/>
    </row>
    <row r="519" spans="1:14" ht="18.75" x14ac:dyDescent="0.2">
      <c r="A519" s="336"/>
      <c r="B519" s="344"/>
      <c r="C519" s="332"/>
      <c r="D519" s="332"/>
      <c r="E519" s="332"/>
      <c r="F519" s="332"/>
      <c r="G519" s="332"/>
      <c r="H519" s="332"/>
      <c r="I519" s="332"/>
      <c r="J519" s="332"/>
      <c r="K519" s="332"/>
      <c r="L519" s="332"/>
      <c r="M519" s="332"/>
      <c r="N519" s="332"/>
    </row>
    <row r="520" spans="1:14" x14ac:dyDescent="0.2">
      <c r="A520" s="337"/>
      <c r="B520" s="347"/>
      <c r="C520" s="340"/>
      <c r="D520" s="340"/>
      <c r="E520" s="340"/>
      <c r="F520" s="340"/>
      <c r="G520" s="340"/>
      <c r="H520" s="340"/>
      <c r="I520" s="340"/>
      <c r="J520" s="340"/>
      <c r="K520" s="340"/>
      <c r="L520" s="340"/>
      <c r="M520" s="340"/>
      <c r="N520" s="340"/>
    </row>
    <row r="521" spans="1:14" x14ac:dyDescent="0.2">
      <c r="A521" s="337"/>
      <c r="B521" s="347"/>
      <c r="C521" s="340"/>
      <c r="D521" s="340"/>
      <c r="E521" s="340"/>
      <c r="F521" s="340"/>
      <c r="G521" s="340"/>
      <c r="H521" s="340"/>
      <c r="I521" s="340"/>
      <c r="J521" s="340"/>
      <c r="K521" s="340"/>
      <c r="L521" s="340"/>
      <c r="M521" s="340"/>
      <c r="N521" s="340"/>
    </row>
    <row r="522" spans="1:14" x14ac:dyDescent="0.2">
      <c r="A522" s="337"/>
      <c r="B522" s="347"/>
      <c r="C522" s="340"/>
      <c r="D522" s="340"/>
      <c r="E522" s="340"/>
      <c r="F522" s="340"/>
      <c r="G522" s="340"/>
      <c r="H522" s="340"/>
      <c r="I522" s="340"/>
      <c r="J522" s="340"/>
      <c r="K522" s="340"/>
      <c r="L522" s="340"/>
      <c r="M522" s="340"/>
      <c r="N522" s="340"/>
    </row>
    <row r="523" spans="1:14" x14ac:dyDescent="0.2">
      <c r="A523" s="337"/>
      <c r="B523" s="347"/>
      <c r="C523" s="340"/>
      <c r="D523" s="340"/>
      <c r="E523" s="340"/>
      <c r="F523" s="340"/>
      <c r="G523" s="340"/>
      <c r="H523" s="340"/>
      <c r="I523" s="340"/>
      <c r="J523" s="340"/>
      <c r="K523" s="340"/>
      <c r="L523" s="340"/>
      <c r="M523" s="340"/>
      <c r="N523" s="340"/>
    </row>
    <row r="524" spans="1:14" x14ac:dyDescent="0.2">
      <c r="A524" s="337"/>
      <c r="B524" s="347"/>
      <c r="C524" s="340"/>
      <c r="D524" s="340"/>
      <c r="E524" s="340"/>
      <c r="F524" s="340"/>
      <c r="G524" s="340"/>
      <c r="H524" s="340"/>
      <c r="I524" s="340"/>
      <c r="J524" s="340"/>
      <c r="K524" s="340"/>
      <c r="L524" s="340"/>
      <c r="M524" s="340"/>
      <c r="N524" s="340"/>
    </row>
    <row r="525" spans="1:14" x14ac:dyDescent="0.2">
      <c r="A525" s="337"/>
      <c r="B525" s="347"/>
      <c r="C525" s="340"/>
      <c r="D525" s="340"/>
      <c r="E525" s="340"/>
      <c r="F525" s="340"/>
      <c r="G525" s="340"/>
      <c r="H525" s="340"/>
      <c r="I525" s="340"/>
      <c r="J525" s="340"/>
      <c r="K525" s="340"/>
      <c r="L525" s="340"/>
      <c r="M525" s="340"/>
      <c r="N525" s="340"/>
    </row>
    <row r="526" spans="1:14" x14ac:dyDescent="0.2">
      <c r="A526" s="338"/>
      <c r="B526" s="349"/>
      <c r="C526" s="340"/>
      <c r="D526" s="340"/>
      <c r="E526" s="340"/>
      <c r="F526" s="340"/>
      <c r="G526" s="340"/>
      <c r="H526" s="340"/>
      <c r="I526" s="340"/>
      <c r="J526" s="340"/>
      <c r="K526" s="340"/>
      <c r="L526" s="340"/>
      <c r="M526" s="340"/>
      <c r="N526" s="340"/>
    </row>
    <row r="527" spans="1:14" x14ac:dyDescent="0.2">
      <c r="A527" s="338"/>
      <c r="B527" s="349"/>
      <c r="C527" s="340"/>
      <c r="D527" s="340"/>
      <c r="E527" s="340"/>
      <c r="F527" s="340"/>
      <c r="G527" s="340"/>
      <c r="H527" s="340"/>
      <c r="I527" s="340"/>
      <c r="J527" s="340"/>
      <c r="K527" s="340"/>
      <c r="L527" s="340"/>
      <c r="M527" s="340"/>
      <c r="N527" s="340"/>
    </row>
    <row r="528" spans="1:14" x14ac:dyDescent="0.2">
      <c r="A528" s="338"/>
      <c r="B528" s="350"/>
      <c r="C528" s="340"/>
      <c r="D528" s="340"/>
      <c r="E528" s="340"/>
      <c r="F528" s="340"/>
      <c r="G528" s="340"/>
      <c r="H528" s="340"/>
      <c r="I528" s="340"/>
      <c r="J528" s="340"/>
      <c r="K528" s="340"/>
      <c r="L528" s="340"/>
      <c r="M528" s="340"/>
      <c r="N528" s="340"/>
    </row>
    <row r="529" spans="1:14" x14ac:dyDescent="0.2">
      <c r="A529" s="338"/>
      <c r="B529" s="350"/>
      <c r="C529" s="340"/>
      <c r="D529" s="340"/>
      <c r="E529" s="340"/>
      <c r="F529" s="340"/>
      <c r="G529" s="340"/>
      <c r="H529" s="340"/>
      <c r="I529" s="340"/>
      <c r="J529" s="340"/>
      <c r="K529" s="340"/>
      <c r="L529" s="340"/>
      <c r="M529" s="340"/>
      <c r="N529" s="340"/>
    </row>
    <row r="530" spans="1:14" x14ac:dyDescent="0.2">
      <c r="A530" s="338"/>
      <c r="B530" s="350"/>
      <c r="C530" s="340"/>
      <c r="D530" s="340"/>
      <c r="E530" s="340"/>
      <c r="F530" s="340"/>
      <c r="G530" s="340"/>
      <c r="H530" s="340"/>
      <c r="I530" s="340"/>
      <c r="J530" s="340"/>
      <c r="K530" s="340"/>
      <c r="L530" s="340"/>
      <c r="M530" s="340"/>
      <c r="N530" s="340"/>
    </row>
    <row r="531" spans="1:14" x14ac:dyDescent="0.2">
      <c r="A531" s="338"/>
      <c r="B531" s="350"/>
      <c r="C531" s="340"/>
      <c r="D531" s="340"/>
      <c r="E531" s="340"/>
      <c r="F531" s="340"/>
      <c r="G531" s="340"/>
      <c r="H531" s="340"/>
      <c r="I531" s="340"/>
      <c r="J531" s="340"/>
      <c r="K531" s="340"/>
      <c r="L531" s="340"/>
      <c r="M531" s="340"/>
      <c r="N531" s="340"/>
    </row>
    <row r="532" spans="1:14" x14ac:dyDescent="0.2">
      <c r="A532" s="338"/>
      <c r="B532" s="349"/>
      <c r="C532" s="340"/>
      <c r="D532" s="340"/>
      <c r="E532" s="340"/>
      <c r="F532" s="340"/>
      <c r="G532" s="340"/>
      <c r="H532" s="340"/>
      <c r="I532" s="340"/>
      <c r="J532" s="340"/>
      <c r="K532" s="340"/>
      <c r="L532" s="340"/>
      <c r="M532" s="340"/>
      <c r="N532" s="340"/>
    </row>
    <row r="533" spans="1:14" x14ac:dyDescent="0.2">
      <c r="A533" s="338"/>
      <c r="B533" s="349"/>
      <c r="C533" s="340"/>
      <c r="D533" s="340"/>
      <c r="E533" s="340"/>
      <c r="F533" s="340"/>
      <c r="G533" s="340"/>
      <c r="H533" s="340"/>
      <c r="I533" s="340"/>
      <c r="J533" s="340"/>
      <c r="K533" s="340"/>
      <c r="L533" s="340"/>
      <c r="M533" s="340"/>
      <c r="N533" s="340"/>
    </row>
    <row r="534" spans="1:14" x14ac:dyDescent="0.2">
      <c r="A534" s="338"/>
      <c r="B534" s="350"/>
      <c r="C534" s="340"/>
      <c r="D534" s="340"/>
      <c r="E534" s="340"/>
      <c r="F534" s="340"/>
      <c r="G534" s="340"/>
      <c r="H534" s="340"/>
      <c r="I534" s="340"/>
      <c r="J534" s="340"/>
      <c r="K534" s="340"/>
      <c r="L534" s="340"/>
      <c r="M534" s="340"/>
      <c r="N534" s="340"/>
    </row>
    <row r="535" spans="1:14" x14ac:dyDescent="0.2">
      <c r="A535" s="338"/>
      <c r="B535" s="349"/>
      <c r="C535" s="340"/>
      <c r="D535" s="340"/>
      <c r="E535" s="340"/>
      <c r="F535" s="340"/>
      <c r="G535" s="340"/>
      <c r="H535" s="340"/>
      <c r="I535" s="340"/>
      <c r="J535" s="340"/>
      <c r="K535" s="340"/>
      <c r="L535" s="340"/>
      <c r="M535" s="340"/>
      <c r="N535" s="340"/>
    </row>
    <row r="536" spans="1:14" x14ac:dyDescent="0.2">
      <c r="A536" s="338"/>
      <c r="B536" s="349"/>
      <c r="C536" s="340"/>
      <c r="D536" s="340"/>
      <c r="E536" s="340"/>
      <c r="F536" s="340"/>
      <c r="G536" s="340"/>
      <c r="H536" s="340"/>
      <c r="I536" s="340"/>
      <c r="J536" s="340"/>
      <c r="K536" s="340"/>
      <c r="L536" s="340"/>
      <c r="M536" s="340"/>
      <c r="N536" s="340"/>
    </row>
    <row r="537" spans="1:14" x14ac:dyDescent="0.2">
      <c r="A537" s="338"/>
      <c r="B537" s="349"/>
      <c r="C537" s="340"/>
      <c r="D537" s="340"/>
      <c r="E537" s="340"/>
      <c r="F537" s="340"/>
      <c r="G537" s="340"/>
      <c r="H537" s="340"/>
      <c r="I537" s="340"/>
      <c r="J537" s="340"/>
      <c r="K537" s="340"/>
      <c r="L537" s="340"/>
      <c r="M537" s="340"/>
      <c r="N537" s="340"/>
    </row>
    <row r="538" spans="1:14" x14ac:dyDescent="0.2">
      <c r="A538" s="338"/>
      <c r="B538" s="349"/>
      <c r="C538" s="340"/>
      <c r="D538" s="340"/>
      <c r="E538" s="340"/>
      <c r="F538" s="340"/>
      <c r="G538" s="340"/>
      <c r="H538" s="340"/>
      <c r="I538" s="340"/>
      <c r="J538" s="340"/>
      <c r="K538" s="340"/>
      <c r="L538" s="340"/>
      <c r="M538" s="340"/>
      <c r="N538" s="340"/>
    </row>
    <row r="539" spans="1:14" x14ac:dyDescent="0.2">
      <c r="A539" s="338"/>
      <c r="B539" s="349"/>
      <c r="C539" s="340"/>
      <c r="D539" s="340"/>
      <c r="E539" s="340"/>
      <c r="F539" s="340"/>
      <c r="G539" s="340"/>
      <c r="H539" s="340"/>
      <c r="I539" s="340"/>
      <c r="J539" s="340"/>
      <c r="K539" s="340"/>
      <c r="L539" s="340"/>
      <c r="M539" s="340"/>
      <c r="N539" s="340"/>
    </row>
    <row r="540" spans="1:14" x14ac:dyDescent="0.2">
      <c r="A540" s="338"/>
      <c r="B540" s="349"/>
      <c r="C540" s="340"/>
      <c r="D540" s="340"/>
      <c r="E540" s="340"/>
      <c r="F540" s="340"/>
      <c r="G540" s="340"/>
      <c r="H540" s="340"/>
      <c r="I540" s="340"/>
      <c r="J540" s="340"/>
      <c r="K540" s="340"/>
      <c r="L540" s="340"/>
      <c r="M540" s="340"/>
      <c r="N540" s="340"/>
    </row>
    <row r="541" spans="1:14" x14ac:dyDescent="0.2">
      <c r="A541" s="338"/>
      <c r="B541" s="349"/>
      <c r="C541" s="340"/>
      <c r="D541" s="340"/>
      <c r="E541" s="340"/>
      <c r="F541" s="340"/>
      <c r="G541" s="340"/>
      <c r="H541" s="340"/>
      <c r="I541" s="340"/>
      <c r="J541" s="340"/>
      <c r="K541" s="340"/>
      <c r="L541" s="340"/>
      <c r="M541" s="340"/>
      <c r="N541" s="340"/>
    </row>
    <row r="542" spans="1:14" s="325" customFormat="1" x14ac:dyDescent="0.2">
      <c r="B542" s="348"/>
      <c r="C542" s="324"/>
      <c r="D542" s="324"/>
      <c r="E542" s="324"/>
      <c r="F542" s="324"/>
      <c r="G542" s="324"/>
      <c r="H542" s="324"/>
      <c r="I542" s="324"/>
      <c r="J542" s="324"/>
      <c r="K542" s="324"/>
      <c r="L542" s="324"/>
      <c r="M542" s="324"/>
      <c r="N542" s="324"/>
    </row>
    <row r="543" spans="1:14" s="325" customFormat="1" x14ac:dyDescent="0.2">
      <c r="B543" s="348"/>
      <c r="C543" s="324"/>
      <c r="D543" s="324"/>
      <c r="E543" s="324"/>
      <c r="F543" s="324"/>
      <c r="G543" s="324"/>
      <c r="H543" s="324"/>
      <c r="I543" s="324"/>
      <c r="J543" s="324"/>
      <c r="K543" s="324"/>
      <c r="L543" s="324"/>
      <c r="M543" s="324"/>
      <c r="N543" s="324"/>
    </row>
    <row r="544" spans="1:14" x14ac:dyDescent="0.2">
      <c r="A544" s="332"/>
      <c r="B544" s="344"/>
    </row>
    <row r="545" spans="1:14" x14ac:dyDescent="0.2">
      <c r="A545" s="337"/>
      <c r="B545" s="349"/>
      <c r="C545" s="328"/>
      <c r="D545" s="328"/>
      <c r="E545" s="328"/>
      <c r="F545" s="328"/>
      <c r="G545" s="328"/>
      <c r="H545" s="328"/>
      <c r="I545" s="328"/>
      <c r="J545" s="328"/>
      <c r="K545" s="328"/>
      <c r="L545" s="328"/>
      <c r="M545" s="328"/>
      <c r="N545" s="328"/>
    </row>
    <row r="546" spans="1:14" x14ac:dyDescent="0.2">
      <c r="A546" s="337"/>
      <c r="B546" s="349"/>
      <c r="C546" s="328"/>
      <c r="D546" s="328"/>
      <c r="E546" s="328"/>
      <c r="F546" s="328"/>
      <c r="G546" s="328"/>
      <c r="H546" s="328"/>
      <c r="I546" s="328"/>
      <c r="J546" s="328"/>
      <c r="K546" s="328"/>
      <c r="L546" s="328"/>
      <c r="M546" s="328"/>
      <c r="N546" s="328"/>
    </row>
    <row r="547" spans="1:14" x14ac:dyDescent="0.2">
      <c r="A547" s="337"/>
      <c r="B547" s="349"/>
      <c r="C547" s="328"/>
      <c r="D547" s="328"/>
      <c r="E547" s="328"/>
      <c r="F547" s="328"/>
      <c r="G547" s="328"/>
      <c r="H547" s="328"/>
      <c r="I547" s="328"/>
      <c r="J547" s="328"/>
      <c r="K547" s="328"/>
      <c r="L547" s="328"/>
      <c r="M547" s="328"/>
      <c r="N547" s="328"/>
    </row>
    <row r="548" spans="1:14" x14ac:dyDescent="0.2">
      <c r="A548" s="337"/>
      <c r="B548" s="349"/>
      <c r="C548" s="328"/>
      <c r="D548" s="328"/>
      <c r="E548" s="328"/>
      <c r="F548" s="328"/>
      <c r="G548" s="328"/>
      <c r="H548" s="328"/>
      <c r="I548" s="328"/>
      <c r="J548" s="328"/>
      <c r="K548" s="328"/>
      <c r="L548" s="328"/>
      <c r="M548" s="328"/>
      <c r="N548" s="328"/>
    </row>
    <row r="549" spans="1:14" x14ac:dyDescent="0.2">
      <c r="A549" s="337"/>
      <c r="B549" s="349"/>
      <c r="C549" s="328"/>
      <c r="D549" s="328"/>
      <c r="E549" s="328"/>
      <c r="F549" s="328"/>
      <c r="G549" s="328"/>
      <c r="H549" s="328"/>
      <c r="I549" s="328"/>
      <c r="J549" s="328"/>
      <c r="K549" s="328"/>
      <c r="L549" s="328"/>
      <c r="M549" s="328"/>
      <c r="N549" s="328"/>
    </row>
    <row r="550" spans="1:14" x14ac:dyDescent="0.2">
      <c r="A550" s="337"/>
      <c r="B550" s="349"/>
      <c r="C550" s="328"/>
      <c r="D550" s="328"/>
      <c r="E550" s="328"/>
      <c r="F550" s="328"/>
      <c r="G550" s="328"/>
      <c r="H550" s="328"/>
      <c r="I550" s="328"/>
      <c r="J550" s="328"/>
      <c r="K550" s="328"/>
      <c r="L550" s="328"/>
      <c r="M550" s="328"/>
      <c r="N550" s="328"/>
    </row>
    <row r="551" spans="1:14" x14ac:dyDescent="0.2">
      <c r="A551" s="337"/>
      <c r="B551" s="349"/>
      <c r="C551" s="328"/>
      <c r="D551" s="328"/>
      <c r="E551" s="328"/>
      <c r="F551" s="328"/>
      <c r="G551" s="328"/>
      <c r="H551" s="328"/>
      <c r="I551" s="328"/>
      <c r="J551" s="328"/>
      <c r="K551" s="328"/>
      <c r="L551" s="328"/>
      <c r="M551" s="328"/>
      <c r="N551" s="328"/>
    </row>
    <row r="552" spans="1:14" x14ac:dyDescent="0.2">
      <c r="A552" s="337"/>
      <c r="B552" s="349"/>
      <c r="C552" s="328"/>
      <c r="D552" s="328"/>
      <c r="E552" s="328"/>
      <c r="F552" s="328"/>
      <c r="G552" s="328"/>
      <c r="H552" s="328"/>
      <c r="I552" s="328"/>
      <c r="J552" s="328"/>
      <c r="K552" s="328"/>
      <c r="L552" s="328"/>
      <c r="M552" s="328"/>
      <c r="N552" s="328"/>
    </row>
    <row r="553" spans="1:14" x14ac:dyDescent="0.2">
      <c r="A553" s="337"/>
      <c r="B553" s="349"/>
      <c r="C553" s="328"/>
      <c r="D553" s="328"/>
      <c r="E553" s="328"/>
      <c r="F553" s="328"/>
      <c r="G553" s="328"/>
      <c r="H553" s="328"/>
      <c r="I553" s="328"/>
      <c r="J553" s="328"/>
      <c r="K553" s="328"/>
      <c r="L553" s="328"/>
      <c r="M553" s="328"/>
      <c r="N553" s="328"/>
    </row>
    <row r="554" spans="1:14" x14ac:dyDescent="0.2">
      <c r="A554" s="337"/>
      <c r="B554" s="350"/>
      <c r="C554" s="328"/>
      <c r="D554" s="328"/>
      <c r="E554" s="328"/>
      <c r="F554" s="328"/>
      <c r="G554" s="328"/>
      <c r="H554" s="328"/>
      <c r="I554" s="328"/>
      <c r="J554" s="328"/>
      <c r="K554" s="328"/>
      <c r="L554" s="328"/>
      <c r="M554" s="328"/>
      <c r="N554" s="328"/>
    </row>
    <row r="555" spans="1:14" x14ac:dyDescent="0.2">
      <c r="A555" s="337"/>
      <c r="B555" s="349"/>
      <c r="C555" s="328"/>
      <c r="D555" s="328"/>
      <c r="E555" s="328"/>
      <c r="F555" s="328"/>
      <c r="G555" s="328"/>
      <c r="H555" s="328"/>
      <c r="I555" s="328"/>
      <c r="J555" s="328"/>
      <c r="K555" s="328"/>
      <c r="L555" s="328"/>
      <c r="M555" s="328"/>
      <c r="N555" s="328"/>
    </row>
    <row r="556" spans="1:14" x14ac:dyDescent="0.2">
      <c r="A556" s="337"/>
      <c r="B556" s="349"/>
      <c r="C556" s="328"/>
      <c r="D556" s="328"/>
      <c r="E556" s="328"/>
      <c r="F556" s="328"/>
      <c r="G556" s="328"/>
      <c r="H556" s="328"/>
      <c r="I556" s="328"/>
      <c r="J556" s="328"/>
      <c r="K556" s="328"/>
      <c r="L556" s="328"/>
      <c r="M556" s="328"/>
      <c r="N556" s="328"/>
    </row>
    <row r="557" spans="1:14" x14ac:dyDescent="0.2">
      <c r="A557" s="337"/>
      <c r="B557" s="349"/>
      <c r="C557" s="328"/>
      <c r="D557" s="328"/>
      <c r="E557" s="328"/>
      <c r="F557" s="328"/>
      <c r="G557" s="328"/>
      <c r="H557" s="328"/>
      <c r="I557" s="328"/>
      <c r="J557" s="328"/>
      <c r="K557" s="328"/>
      <c r="L557" s="328"/>
      <c r="M557" s="328"/>
      <c r="N557" s="328"/>
    </row>
    <row r="558" spans="1:14" x14ac:dyDescent="0.2">
      <c r="A558" s="337"/>
      <c r="B558" s="349"/>
      <c r="C558" s="328"/>
      <c r="D558" s="328"/>
      <c r="E558" s="328"/>
      <c r="F558" s="328"/>
      <c r="G558" s="328"/>
      <c r="H558" s="328"/>
      <c r="I558" s="328"/>
      <c r="J558" s="328"/>
      <c r="K558" s="328"/>
      <c r="L558" s="328"/>
      <c r="M558" s="328"/>
      <c r="N558" s="328"/>
    </row>
    <row r="559" spans="1:14" x14ac:dyDescent="0.2">
      <c r="A559" s="337"/>
      <c r="B559" s="349"/>
      <c r="C559" s="328"/>
      <c r="D559" s="328"/>
      <c r="E559" s="328"/>
      <c r="F559" s="328"/>
      <c r="G559" s="328"/>
      <c r="H559" s="328"/>
      <c r="I559" s="328"/>
      <c r="J559" s="328"/>
      <c r="K559" s="328"/>
      <c r="L559" s="328"/>
      <c r="M559" s="328"/>
      <c r="N559" s="328"/>
    </row>
    <row r="560" spans="1:14" x14ac:dyDescent="0.2">
      <c r="A560" s="337"/>
      <c r="B560" s="349"/>
      <c r="C560" s="328"/>
      <c r="D560" s="328"/>
      <c r="E560" s="328"/>
      <c r="F560" s="328"/>
      <c r="G560" s="328"/>
      <c r="H560" s="328"/>
      <c r="I560" s="328"/>
      <c r="J560" s="328"/>
      <c r="K560" s="328"/>
      <c r="L560" s="328"/>
      <c r="M560" s="328"/>
      <c r="N560" s="328"/>
    </row>
    <row r="561" spans="1:14" x14ac:dyDescent="0.2">
      <c r="A561" s="337"/>
      <c r="B561" s="349"/>
      <c r="C561" s="328"/>
      <c r="D561" s="328"/>
      <c r="E561" s="328"/>
      <c r="F561" s="328"/>
      <c r="G561" s="328"/>
      <c r="H561" s="328"/>
      <c r="I561" s="328"/>
      <c r="J561" s="328"/>
      <c r="K561" s="328"/>
      <c r="L561" s="328"/>
      <c r="M561" s="328"/>
      <c r="N561" s="328"/>
    </row>
    <row r="562" spans="1:14" x14ac:dyDescent="0.2">
      <c r="A562" s="337"/>
      <c r="B562" s="349"/>
      <c r="C562" s="328"/>
      <c r="D562" s="328"/>
      <c r="E562" s="328"/>
      <c r="F562" s="328"/>
      <c r="G562" s="328"/>
      <c r="H562" s="328"/>
      <c r="I562" s="328"/>
      <c r="J562" s="328"/>
      <c r="K562" s="328"/>
      <c r="L562" s="328"/>
      <c r="M562" s="328"/>
      <c r="N562" s="328"/>
    </row>
    <row r="563" spans="1:14" x14ac:dyDescent="0.2">
      <c r="A563" s="337"/>
      <c r="B563" s="349"/>
      <c r="C563" s="328"/>
      <c r="D563" s="328"/>
      <c r="E563" s="328"/>
      <c r="F563" s="328"/>
      <c r="G563" s="328"/>
      <c r="H563" s="328"/>
      <c r="I563" s="328"/>
      <c r="J563" s="328"/>
      <c r="K563" s="328"/>
      <c r="L563" s="328"/>
      <c r="M563" s="328"/>
      <c r="N563" s="328"/>
    </row>
    <row r="564" spans="1:14" x14ac:dyDescent="0.2">
      <c r="A564" s="337"/>
      <c r="B564" s="349"/>
      <c r="C564" s="328"/>
      <c r="D564" s="328"/>
      <c r="E564" s="328"/>
      <c r="F564" s="328"/>
      <c r="G564" s="328"/>
      <c r="H564" s="328"/>
      <c r="I564" s="328"/>
      <c r="J564" s="328"/>
      <c r="K564" s="328"/>
      <c r="L564" s="328"/>
      <c r="M564" s="328"/>
      <c r="N564" s="328"/>
    </row>
    <row r="565" spans="1:14" x14ac:dyDescent="0.2">
      <c r="A565" s="337"/>
      <c r="B565" s="349"/>
      <c r="C565" s="328"/>
      <c r="D565" s="328"/>
      <c r="E565" s="328"/>
      <c r="F565" s="328"/>
      <c r="G565" s="328"/>
      <c r="H565" s="328"/>
      <c r="I565" s="328"/>
      <c r="J565" s="328"/>
      <c r="K565" s="328"/>
      <c r="L565" s="328"/>
      <c r="M565" s="328"/>
      <c r="N565" s="328"/>
    </row>
    <row r="566" spans="1:14" x14ac:dyDescent="0.2">
      <c r="A566" s="337"/>
      <c r="B566" s="349"/>
      <c r="C566" s="328"/>
      <c r="D566" s="328"/>
      <c r="E566" s="328"/>
      <c r="F566" s="328"/>
      <c r="G566" s="328"/>
      <c r="H566" s="328"/>
      <c r="I566" s="328"/>
      <c r="J566" s="328"/>
      <c r="K566" s="328"/>
      <c r="L566" s="328"/>
      <c r="M566" s="328"/>
      <c r="N566" s="328"/>
    </row>
    <row r="567" spans="1:14" x14ac:dyDescent="0.2">
      <c r="B567" s="344"/>
      <c r="C567" s="334"/>
      <c r="D567" s="334"/>
      <c r="E567" s="334"/>
      <c r="F567" s="334"/>
      <c r="G567" s="334"/>
      <c r="H567" s="334"/>
      <c r="I567" s="334"/>
      <c r="J567" s="334"/>
      <c r="K567" s="334"/>
      <c r="L567" s="334"/>
      <c r="M567" s="334"/>
      <c r="N567" s="334"/>
    </row>
    <row r="568" spans="1:14" x14ac:dyDescent="0.2">
      <c r="B568" s="345"/>
      <c r="C568" s="328"/>
      <c r="D568" s="328"/>
      <c r="E568" s="328"/>
      <c r="F568" s="328"/>
      <c r="G568" s="328"/>
      <c r="H568" s="328"/>
      <c r="I568" s="328"/>
      <c r="J568" s="328"/>
      <c r="K568" s="328"/>
      <c r="L568" s="328"/>
      <c r="M568" s="328"/>
      <c r="N568" s="328"/>
    </row>
    <row r="569" spans="1:14" x14ac:dyDescent="0.2">
      <c r="B569" s="349"/>
      <c r="C569" s="328"/>
      <c r="D569" s="328"/>
      <c r="E569" s="328"/>
      <c r="F569" s="328"/>
      <c r="G569" s="328"/>
      <c r="H569" s="328"/>
      <c r="I569" s="328"/>
      <c r="J569" s="328"/>
      <c r="K569" s="328"/>
      <c r="L569" s="328"/>
      <c r="M569" s="328"/>
      <c r="N569" s="328"/>
    </row>
    <row r="570" spans="1:14" x14ac:dyDescent="0.2">
      <c r="B570" s="349"/>
      <c r="C570" s="328"/>
      <c r="D570" s="328"/>
      <c r="E570" s="328"/>
      <c r="F570" s="328"/>
      <c r="G570" s="328"/>
      <c r="H570" s="328"/>
      <c r="I570" s="328"/>
      <c r="J570" s="328"/>
      <c r="K570" s="328"/>
      <c r="L570" s="328"/>
      <c r="M570" s="328"/>
      <c r="N570" s="328"/>
    </row>
    <row r="571" spans="1:14" x14ac:dyDescent="0.2">
      <c r="B571" s="349"/>
      <c r="C571" s="328"/>
      <c r="D571" s="328"/>
      <c r="E571" s="328"/>
      <c r="F571" s="328"/>
      <c r="G571" s="328"/>
      <c r="H571" s="328"/>
      <c r="I571" s="328"/>
      <c r="J571" s="328"/>
      <c r="K571" s="328"/>
      <c r="L571" s="328"/>
      <c r="M571" s="328"/>
      <c r="N571" s="328"/>
    </row>
    <row r="572" spans="1:14" x14ac:dyDescent="0.2">
      <c r="B572" s="349"/>
      <c r="C572" s="328"/>
      <c r="D572" s="328"/>
      <c r="E572" s="328"/>
      <c r="F572" s="328"/>
      <c r="G572" s="328"/>
      <c r="H572" s="328"/>
      <c r="I572" s="328"/>
      <c r="J572" s="328"/>
      <c r="K572" s="328"/>
      <c r="L572" s="328"/>
      <c r="M572" s="328"/>
      <c r="N572" s="328"/>
    </row>
    <row r="573" spans="1:14" x14ac:dyDescent="0.2">
      <c r="B573" s="349"/>
      <c r="C573" s="328"/>
      <c r="D573" s="328"/>
      <c r="E573" s="328"/>
      <c r="F573" s="328"/>
      <c r="G573" s="328"/>
      <c r="H573" s="328"/>
      <c r="I573" s="328"/>
      <c r="J573" s="328"/>
      <c r="K573" s="328"/>
      <c r="L573" s="328"/>
      <c r="M573" s="328"/>
      <c r="N573" s="328"/>
    </row>
    <row r="574" spans="1:14" x14ac:dyDescent="0.2">
      <c r="B574" s="349"/>
      <c r="C574" s="328"/>
      <c r="D574" s="328"/>
      <c r="E574" s="328"/>
      <c r="F574" s="328"/>
      <c r="G574" s="328"/>
      <c r="H574" s="328"/>
      <c r="I574" s="328"/>
      <c r="J574" s="328"/>
      <c r="K574" s="328"/>
      <c r="L574" s="328"/>
      <c r="M574" s="328"/>
      <c r="N574" s="328"/>
    </row>
    <row r="575" spans="1:14" x14ac:dyDescent="0.2">
      <c r="B575" s="349"/>
      <c r="C575" s="328"/>
      <c r="D575" s="328"/>
      <c r="E575" s="328"/>
      <c r="F575" s="328"/>
      <c r="G575" s="328"/>
      <c r="H575" s="328"/>
      <c r="I575" s="328"/>
      <c r="J575" s="328"/>
      <c r="K575" s="328"/>
      <c r="L575" s="328"/>
      <c r="M575" s="328"/>
      <c r="N575" s="328"/>
    </row>
    <row r="576" spans="1:14" x14ac:dyDescent="0.2">
      <c r="B576" s="349"/>
      <c r="C576" s="328"/>
      <c r="D576" s="328"/>
      <c r="E576" s="328"/>
      <c r="F576" s="328"/>
      <c r="G576" s="328"/>
      <c r="H576" s="328"/>
      <c r="I576" s="328"/>
      <c r="J576" s="328"/>
      <c r="K576" s="328"/>
      <c r="L576" s="328"/>
      <c r="M576" s="328"/>
      <c r="N576" s="328"/>
    </row>
    <row r="577" spans="2:14" x14ac:dyDescent="0.2">
      <c r="B577" s="349"/>
      <c r="C577" s="328"/>
      <c r="D577" s="328"/>
      <c r="E577" s="328"/>
      <c r="F577" s="328"/>
      <c r="G577" s="328"/>
      <c r="H577" s="328"/>
      <c r="I577" s="328"/>
      <c r="J577" s="328"/>
      <c r="K577" s="328"/>
      <c r="L577" s="328"/>
      <c r="M577" s="328"/>
      <c r="N577" s="328"/>
    </row>
    <row r="578" spans="2:14" x14ac:dyDescent="0.2">
      <c r="B578" s="350"/>
      <c r="C578" s="328"/>
      <c r="D578" s="328"/>
      <c r="E578" s="328"/>
      <c r="F578" s="328"/>
      <c r="G578" s="328"/>
      <c r="H578" s="328"/>
      <c r="I578" s="328"/>
      <c r="J578" s="328"/>
      <c r="K578" s="328"/>
      <c r="L578" s="328"/>
      <c r="M578" s="328"/>
      <c r="N578" s="328"/>
    </row>
    <row r="579" spans="2:14" x14ac:dyDescent="0.2">
      <c r="B579" s="349"/>
      <c r="C579" s="328"/>
      <c r="D579" s="328"/>
      <c r="E579" s="328"/>
      <c r="F579" s="328"/>
      <c r="G579" s="328"/>
      <c r="H579" s="328"/>
      <c r="I579" s="328"/>
      <c r="J579" s="328"/>
      <c r="K579" s="328"/>
      <c r="L579" s="328"/>
      <c r="M579" s="328"/>
      <c r="N579" s="328"/>
    </row>
    <row r="580" spans="2:14" x14ac:dyDescent="0.2">
      <c r="B580" s="349"/>
      <c r="C580" s="328"/>
      <c r="D580" s="328"/>
      <c r="E580" s="328"/>
      <c r="F580" s="328"/>
      <c r="G580" s="328"/>
      <c r="H580" s="328"/>
      <c r="I580" s="328"/>
      <c r="J580" s="328"/>
      <c r="K580" s="328"/>
      <c r="L580" s="328"/>
      <c r="M580" s="328"/>
      <c r="N580" s="328"/>
    </row>
    <row r="581" spans="2:14" x14ac:dyDescent="0.2">
      <c r="B581" s="349"/>
      <c r="C581" s="328"/>
      <c r="D581" s="328"/>
      <c r="E581" s="328"/>
      <c r="F581" s="328"/>
      <c r="G581" s="328"/>
      <c r="H581" s="328"/>
      <c r="I581" s="328"/>
      <c r="J581" s="328"/>
      <c r="K581" s="328"/>
      <c r="L581" s="328"/>
      <c r="M581" s="328"/>
      <c r="N581" s="328"/>
    </row>
    <row r="582" spans="2:14" x14ac:dyDescent="0.2">
      <c r="B582" s="349"/>
      <c r="C582" s="328"/>
      <c r="D582" s="328"/>
      <c r="E582" s="328"/>
      <c r="F582" s="328"/>
      <c r="G582" s="328"/>
      <c r="H582" s="328"/>
      <c r="I582" s="328"/>
      <c r="J582" s="328"/>
      <c r="K582" s="328"/>
      <c r="L582" s="328"/>
      <c r="M582" s="328"/>
      <c r="N582" s="328"/>
    </row>
    <row r="583" spans="2:14" x14ac:dyDescent="0.2">
      <c r="B583" s="349"/>
      <c r="C583" s="328"/>
      <c r="D583" s="328"/>
      <c r="E583" s="328"/>
      <c r="F583" s="328"/>
      <c r="G583" s="328"/>
      <c r="H583" s="328"/>
      <c r="I583" s="328"/>
      <c r="J583" s="328"/>
      <c r="K583" s="328"/>
      <c r="L583" s="328"/>
      <c r="M583" s="328"/>
      <c r="N583" s="328"/>
    </row>
    <row r="584" spans="2:14" x14ac:dyDescent="0.2">
      <c r="B584" s="349"/>
      <c r="C584" s="328"/>
      <c r="D584" s="328"/>
      <c r="E584" s="328"/>
      <c r="F584" s="328"/>
      <c r="G584" s="328"/>
      <c r="H584" s="328"/>
      <c r="I584" s="328"/>
      <c r="J584" s="328"/>
      <c r="K584" s="328"/>
      <c r="L584" s="328"/>
      <c r="M584" s="328"/>
      <c r="N584" s="328"/>
    </row>
    <row r="585" spans="2:14" x14ac:dyDescent="0.2">
      <c r="B585" s="349"/>
      <c r="C585" s="328"/>
      <c r="D585" s="328"/>
      <c r="E585" s="328"/>
      <c r="F585" s="328"/>
      <c r="G585" s="328"/>
      <c r="H585" s="328"/>
      <c r="I585" s="328"/>
      <c r="J585" s="328"/>
      <c r="K585" s="328"/>
      <c r="L585" s="328"/>
      <c r="M585" s="328"/>
      <c r="N585" s="328"/>
    </row>
    <row r="586" spans="2:14" x14ac:dyDescent="0.2">
      <c r="B586" s="349"/>
      <c r="C586" s="328"/>
      <c r="D586" s="328"/>
      <c r="E586" s="328"/>
      <c r="F586" s="328"/>
      <c r="G586" s="328"/>
      <c r="H586" s="328"/>
      <c r="I586" s="328"/>
      <c r="J586" s="328"/>
      <c r="K586" s="328"/>
      <c r="L586" s="328"/>
      <c r="M586" s="328"/>
      <c r="N586" s="328"/>
    </row>
    <row r="587" spans="2:14" x14ac:dyDescent="0.2">
      <c r="B587" s="349"/>
      <c r="C587" s="328"/>
      <c r="D587" s="328"/>
      <c r="E587" s="328"/>
      <c r="F587" s="328"/>
      <c r="G587" s="328"/>
      <c r="H587" s="328"/>
      <c r="I587" s="328"/>
      <c r="J587" s="328"/>
      <c r="K587" s="328"/>
      <c r="L587" s="328"/>
      <c r="M587" s="328"/>
      <c r="N587" s="328"/>
    </row>
    <row r="588" spans="2:14" x14ac:dyDescent="0.2">
      <c r="B588" s="349"/>
      <c r="C588" s="328"/>
      <c r="D588" s="328"/>
      <c r="E588" s="328"/>
      <c r="F588" s="328"/>
      <c r="G588" s="328"/>
      <c r="H588" s="328"/>
      <c r="I588" s="328"/>
      <c r="J588" s="328"/>
      <c r="K588" s="328"/>
      <c r="L588" s="328"/>
      <c r="M588" s="328"/>
      <c r="N588" s="328"/>
    </row>
    <row r="589" spans="2:14" x14ac:dyDescent="0.2">
      <c r="B589" s="349"/>
      <c r="C589" s="328"/>
      <c r="D589" s="328"/>
      <c r="E589" s="328"/>
      <c r="F589" s="328"/>
      <c r="G589" s="328"/>
      <c r="H589" s="328"/>
      <c r="I589" s="328"/>
      <c r="J589" s="328"/>
      <c r="K589" s="328"/>
      <c r="L589" s="328"/>
      <c r="M589" s="328"/>
      <c r="N589" s="328"/>
    </row>
    <row r="590" spans="2:14" x14ac:dyDescent="0.2">
      <c r="B590" s="349"/>
      <c r="C590" s="328"/>
      <c r="D590" s="328"/>
      <c r="E590" s="328"/>
      <c r="F590" s="328"/>
      <c r="G590" s="328"/>
      <c r="H590" s="328"/>
      <c r="I590" s="328"/>
      <c r="J590" s="328"/>
      <c r="K590" s="328"/>
      <c r="L590" s="328"/>
      <c r="M590" s="328"/>
      <c r="N590" s="328"/>
    </row>
    <row r="591" spans="2:14" x14ac:dyDescent="0.2">
      <c r="B591" s="344"/>
      <c r="C591" s="334"/>
      <c r="D591" s="334"/>
      <c r="E591" s="334"/>
      <c r="F591" s="334"/>
      <c r="G591" s="334"/>
      <c r="H591" s="334"/>
      <c r="I591" s="334"/>
      <c r="J591" s="334"/>
      <c r="K591" s="334"/>
      <c r="L591" s="334"/>
      <c r="M591" s="334"/>
      <c r="N591" s="334"/>
    </row>
    <row r="592" spans="2:14" x14ac:dyDescent="0.2">
      <c r="B592" s="345"/>
    </row>
    <row r="593" spans="1:14" x14ac:dyDescent="0.2">
      <c r="C593" s="328"/>
      <c r="D593" s="328"/>
      <c r="E593" s="328"/>
      <c r="F593" s="328"/>
      <c r="G593" s="328"/>
      <c r="H593" s="328"/>
      <c r="I593" s="328"/>
      <c r="J593" s="328"/>
      <c r="K593" s="328"/>
      <c r="L593" s="328"/>
      <c r="M593" s="328"/>
      <c r="N593" s="328"/>
    </row>
    <row r="594" spans="1:14" x14ac:dyDescent="0.2">
      <c r="B594" s="344"/>
      <c r="C594" s="334"/>
      <c r="D594" s="334"/>
      <c r="E594" s="334"/>
      <c r="F594" s="334"/>
      <c r="G594" s="334"/>
      <c r="H594" s="334"/>
      <c r="I594" s="334"/>
      <c r="J594" s="334"/>
      <c r="K594" s="334"/>
      <c r="L594" s="334"/>
      <c r="M594" s="334"/>
      <c r="N594" s="334"/>
    </row>
    <row r="595" spans="1:14" x14ac:dyDescent="0.2">
      <c r="A595" s="335"/>
      <c r="B595" s="345"/>
    </row>
    <row r="596" spans="1:14" x14ac:dyDescent="0.2">
      <c r="A596" s="337"/>
      <c r="B596" s="349"/>
      <c r="C596" s="328"/>
      <c r="D596" s="328"/>
      <c r="E596" s="328"/>
      <c r="F596" s="328"/>
      <c r="G596" s="328"/>
      <c r="H596" s="328"/>
      <c r="I596" s="328"/>
      <c r="J596" s="328"/>
      <c r="K596" s="328"/>
      <c r="L596" s="328"/>
      <c r="M596" s="328"/>
      <c r="N596" s="328"/>
    </row>
    <row r="597" spans="1:14" x14ac:dyDescent="0.2">
      <c r="A597" s="337"/>
      <c r="B597" s="349"/>
      <c r="C597" s="328"/>
      <c r="D597" s="328"/>
      <c r="E597" s="328"/>
      <c r="F597" s="328"/>
      <c r="G597" s="328"/>
      <c r="H597" s="328"/>
      <c r="I597" s="328"/>
      <c r="J597" s="328"/>
      <c r="K597" s="328"/>
      <c r="L597" s="328"/>
      <c r="M597" s="328"/>
      <c r="N597" s="328"/>
    </row>
    <row r="598" spans="1:14" x14ac:dyDescent="0.2">
      <c r="A598" s="337"/>
      <c r="B598" s="349"/>
      <c r="C598" s="328"/>
      <c r="D598" s="328"/>
      <c r="E598" s="328"/>
      <c r="F598" s="328"/>
      <c r="G598" s="328"/>
      <c r="H598" s="328"/>
      <c r="I598" s="328"/>
      <c r="J598" s="328"/>
      <c r="K598" s="328"/>
      <c r="L598" s="328"/>
      <c r="M598" s="328"/>
      <c r="N598" s="328"/>
    </row>
    <row r="599" spans="1:14" x14ac:dyDescent="0.2">
      <c r="A599" s="337"/>
      <c r="B599" s="349"/>
      <c r="C599" s="328"/>
      <c r="D599" s="328"/>
      <c r="E599" s="328"/>
      <c r="F599" s="328"/>
      <c r="G599" s="328"/>
      <c r="H599" s="328"/>
      <c r="I599" s="328"/>
      <c r="J599" s="328"/>
      <c r="K599" s="328"/>
      <c r="L599" s="328"/>
      <c r="M599" s="328"/>
      <c r="N599" s="328"/>
    </row>
    <row r="600" spans="1:14" x14ac:dyDescent="0.2">
      <c r="A600" s="337"/>
      <c r="B600" s="349"/>
      <c r="C600" s="328"/>
      <c r="D600" s="328"/>
      <c r="E600" s="328"/>
      <c r="F600" s="328"/>
      <c r="G600" s="328"/>
      <c r="H600" s="328"/>
      <c r="I600" s="328"/>
      <c r="J600" s="328"/>
      <c r="K600" s="328"/>
      <c r="L600" s="328"/>
      <c r="M600" s="328"/>
      <c r="N600" s="328"/>
    </row>
    <row r="601" spans="1:14" x14ac:dyDescent="0.2">
      <c r="A601" s="337"/>
      <c r="B601" s="349"/>
      <c r="C601" s="328"/>
      <c r="D601" s="328"/>
      <c r="E601" s="328"/>
      <c r="F601" s="328"/>
      <c r="G601" s="328"/>
      <c r="H601" s="328"/>
      <c r="I601" s="328"/>
      <c r="J601" s="328"/>
      <c r="K601" s="328"/>
      <c r="L601" s="328"/>
      <c r="M601" s="328"/>
      <c r="N601" s="328"/>
    </row>
    <row r="602" spans="1:14" x14ac:dyDescent="0.2">
      <c r="A602" s="337"/>
      <c r="B602" s="349"/>
      <c r="C602" s="328"/>
      <c r="D602" s="328"/>
      <c r="E602" s="328"/>
      <c r="F602" s="328"/>
      <c r="G602" s="328"/>
      <c r="H602" s="328"/>
      <c r="I602" s="328"/>
      <c r="J602" s="328"/>
      <c r="K602" s="328"/>
      <c r="L602" s="328"/>
      <c r="M602" s="328"/>
      <c r="N602" s="328"/>
    </row>
    <row r="603" spans="1:14" x14ac:dyDescent="0.2">
      <c r="A603" s="337"/>
      <c r="B603" s="349"/>
      <c r="C603" s="328"/>
      <c r="D603" s="328"/>
      <c r="E603" s="328"/>
      <c r="F603" s="328"/>
      <c r="G603" s="328"/>
      <c r="H603" s="328"/>
      <c r="I603" s="328"/>
      <c r="J603" s="328"/>
      <c r="K603" s="328"/>
      <c r="L603" s="328"/>
      <c r="M603" s="328"/>
      <c r="N603" s="328"/>
    </row>
    <row r="604" spans="1:14" x14ac:dyDescent="0.2">
      <c r="A604" s="337"/>
      <c r="B604" s="349"/>
      <c r="C604" s="328"/>
      <c r="D604" s="328"/>
      <c r="E604" s="328"/>
      <c r="F604" s="328"/>
      <c r="G604" s="328"/>
      <c r="H604" s="328"/>
      <c r="I604" s="328"/>
      <c r="J604" s="328"/>
      <c r="K604" s="328"/>
      <c r="L604" s="328"/>
      <c r="M604" s="328"/>
      <c r="N604" s="328"/>
    </row>
    <row r="605" spans="1:14" x14ac:dyDescent="0.2">
      <c r="A605" s="337"/>
      <c r="B605" s="350"/>
      <c r="C605" s="328"/>
      <c r="D605" s="328"/>
      <c r="E605" s="328"/>
      <c r="F605" s="328"/>
      <c r="G605" s="328"/>
      <c r="H605" s="328"/>
      <c r="I605" s="328"/>
      <c r="J605" s="328"/>
      <c r="K605" s="328"/>
      <c r="L605" s="328"/>
      <c r="M605" s="328"/>
      <c r="N605" s="328"/>
    </row>
    <row r="606" spans="1:14" x14ac:dyDescent="0.2">
      <c r="A606" s="337"/>
      <c r="B606" s="349"/>
      <c r="C606" s="328"/>
      <c r="D606" s="328"/>
      <c r="E606" s="328"/>
      <c r="F606" s="328"/>
      <c r="G606" s="328"/>
      <c r="H606" s="328"/>
      <c r="I606" s="328"/>
      <c r="J606" s="328"/>
      <c r="K606" s="328"/>
      <c r="L606" s="328"/>
      <c r="M606" s="328"/>
      <c r="N606" s="328"/>
    </row>
    <row r="607" spans="1:14" x14ac:dyDescent="0.2">
      <c r="A607" s="337"/>
      <c r="B607" s="349"/>
      <c r="C607" s="328"/>
      <c r="D607" s="328"/>
      <c r="E607" s="328"/>
      <c r="F607" s="328"/>
      <c r="G607" s="328"/>
      <c r="H607" s="328"/>
      <c r="I607" s="328"/>
      <c r="J607" s="328"/>
      <c r="K607" s="328"/>
      <c r="L607" s="328"/>
      <c r="M607" s="328"/>
      <c r="N607" s="328"/>
    </row>
    <row r="608" spans="1:14" x14ac:dyDescent="0.2">
      <c r="A608" s="337"/>
      <c r="B608" s="349"/>
      <c r="C608" s="328"/>
      <c r="D608" s="328"/>
      <c r="E608" s="328"/>
      <c r="F608" s="328"/>
      <c r="G608" s="328"/>
      <c r="H608" s="328"/>
      <c r="I608" s="328"/>
      <c r="J608" s="328"/>
      <c r="K608" s="328"/>
      <c r="L608" s="328"/>
      <c r="M608" s="328"/>
      <c r="N608" s="328"/>
    </row>
    <row r="609" spans="1:14" x14ac:dyDescent="0.2">
      <c r="A609" s="337"/>
      <c r="B609" s="349"/>
      <c r="C609" s="328"/>
      <c r="D609" s="328"/>
      <c r="E609" s="328"/>
      <c r="F609" s="328"/>
      <c r="G609" s="328"/>
      <c r="H609" s="328"/>
      <c r="I609" s="328"/>
      <c r="J609" s="328"/>
      <c r="K609" s="328"/>
      <c r="L609" s="328"/>
      <c r="M609" s="328"/>
      <c r="N609" s="328"/>
    </row>
    <row r="610" spans="1:14" x14ac:dyDescent="0.2">
      <c r="A610" s="337"/>
      <c r="B610" s="349"/>
      <c r="C610" s="328"/>
      <c r="D610" s="328"/>
      <c r="E610" s="328"/>
      <c r="F610" s="328"/>
      <c r="G610" s="328"/>
      <c r="H610" s="328"/>
      <c r="I610" s="328"/>
      <c r="J610" s="328"/>
      <c r="K610" s="328"/>
      <c r="L610" s="328"/>
      <c r="M610" s="328"/>
      <c r="N610" s="328"/>
    </row>
    <row r="611" spans="1:14" x14ac:dyDescent="0.2">
      <c r="A611" s="337"/>
      <c r="B611" s="349"/>
      <c r="C611" s="328"/>
      <c r="D611" s="328"/>
      <c r="E611" s="328"/>
      <c r="F611" s="328"/>
      <c r="G611" s="328"/>
      <c r="H611" s="328"/>
      <c r="I611" s="328"/>
      <c r="J611" s="328"/>
      <c r="K611" s="328"/>
      <c r="L611" s="328"/>
      <c r="M611" s="328"/>
      <c r="N611" s="328"/>
    </row>
    <row r="612" spans="1:14" x14ac:dyDescent="0.2">
      <c r="A612" s="337"/>
      <c r="B612" s="349"/>
      <c r="C612" s="328"/>
      <c r="D612" s="328"/>
      <c r="E612" s="328"/>
      <c r="F612" s="328"/>
      <c r="G612" s="328"/>
      <c r="H612" s="328"/>
      <c r="I612" s="328"/>
      <c r="J612" s="328"/>
      <c r="K612" s="328"/>
      <c r="L612" s="328"/>
      <c r="M612" s="328"/>
      <c r="N612" s="328"/>
    </row>
    <row r="613" spans="1:14" x14ac:dyDescent="0.2">
      <c r="A613" s="337"/>
      <c r="B613" s="349"/>
      <c r="C613" s="328"/>
      <c r="D613" s="328"/>
      <c r="E613" s="328"/>
      <c r="F613" s="328"/>
      <c r="G613" s="328"/>
      <c r="H613" s="328"/>
      <c r="I613" s="328"/>
      <c r="J613" s="328"/>
      <c r="K613" s="328"/>
      <c r="L613" s="328"/>
      <c r="M613" s="328"/>
      <c r="N613" s="328"/>
    </row>
    <row r="614" spans="1:14" x14ac:dyDescent="0.2">
      <c r="A614" s="337"/>
      <c r="B614" s="349"/>
      <c r="C614" s="328"/>
      <c r="D614" s="328"/>
      <c r="E614" s="328"/>
      <c r="F614" s="328"/>
      <c r="G614" s="328"/>
      <c r="H614" s="328"/>
      <c r="I614" s="328"/>
      <c r="J614" s="328"/>
      <c r="K614" s="328"/>
      <c r="L614" s="328"/>
      <c r="M614" s="328"/>
      <c r="N614" s="328"/>
    </row>
    <row r="615" spans="1:14" x14ac:dyDescent="0.2">
      <c r="A615" s="337"/>
      <c r="B615" s="349"/>
      <c r="C615" s="328"/>
      <c r="D615" s="328"/>
      <c r="E615" s="328"/>
      <c r="F615" s="328"/>
      <c r="G615" s="328"/>
      <c r="H615" s="328"/>
      <c r="I615" s="328"/>
      <c r="J615" s="328"/>
      <c r="K615" s="328"/>
      <c r="L615" s="328"/>
      <c r="M615" s="328"/>
      <c r="N615" s="328"/>
    </row>
    <row r="616" spans="1:14" x14ac:dyDescent="0.2">
      <c r="A616" s="337"/>
      <c r="B616" s="349"/>
      <c r="C616" s="328"/>
      <c r="D616" s="328"/>
      <c r="E616" s="328"/>
      <c r="F616" s="328"/>
      <c r="G616" s="328"/>
      <c r="H616" s="328"/>
      <c r="I616" s="328"/>
      <c r="J616" s="328"/>
      <c r="K616" s="328"/>
      <c r="L616" s="328"/>
      <c r="M616" s="328"/>
      <c r="N616" s="328"/>
    </row>
    <row r="617" spans="1:14" x14ac:dyDescent="0.2">
      <c r="A617" s="337"/>
      <c r="B617" s="349"/>
      <c r="C617" s="328"/>
      <c r="D617" s="328"/>
      <c r="E617" s="328"/>
      <c r="F617" s="328"/>
      <c r="G617" s="328"/>
      <c r="H617" s="328"/>
      <c r="I617" s="328"/>
      <c r="J617" s="328"/>
      <c r="K617" s="328"/>
      <c r="L617" s="328"/>
      <c r="M617" s="328"/>
      <c r="N617" s="328"/>
    </row>
    <row r="618" spans="1:14" x14ac:dyDescent="0.2">
      <c r="B618" s="344"/>
      <c r="C618" s="334"/>
      <c r="D618" s="334"/>
      <c r="E618" s="334"/>
      <c r="F618" s="334"/>
      <c r="G618" s="334"/>
      <c r="H618" s="334"/>
      <c r="I618" s="334"/>
      <c r="J618" s="334"/>
      <c r="K618" s="334"/>
      <c r="L618" s="334"/>
      <c r="M618" s="334"/>
      <c r="N618" s="334"/>
    </row>
    <row r="619" spans="1:14" x14ac:dyDescent="0.2">
      <c r="B619" s="345"/>
      <c r="C619" s="328"/>
      <c r="D619" s="328"/>
      <c r="E619" s="328"/>
      <c r="F619" s="328"/>
      <c r="G619" s="328"/>
      <c r="H619" s="328"/>
      <c r="I619" s="328"/>
      <c r="J619" s="328"/>
      <c r="K619" s="328"/>
      <c r="L619" s="328"/>
      <c r="M619" s="328"/>
      <c r="N619" s="328"/>
    </row>
    <row r="620" spans="1:14" x14ac:dyDescent="0.2">
      <c r="B620" s="349"/>
      <c r="C620" s="328"/>
      <c r="D620" s="328"/>
      <c r="E620" s="328"/>
      <c r="F620" s="328"/>
      <c r="G620" s="328"/>
      <c r="H620" s="328"/>
      <c r="I620" s="328"/>
      <c r="J620" s="328"/>
      <c r="K620" s="328"/>
      <c r="L620" s="328"/>
      <c r="M620" s="328"/>
      <c r="N620" s="328"/>
    </row>
    <row r="621" spans="1:14" x14ac:dyDescent="0.2">
      <c r="B621" s="349"/>
      <c r="C621" s="328"/>
      <c r="D621" s="328"/>
      <c r="E621" s="328"/>
      <c r="F621" s="328"/>
      <c r="G621" s="328"/>
      <c r="H621" s="328"/>
      <c r="I621" s="328"/>
      <c r="J621" s="328"/>
      <c r="K621" s="328"/>
      <c r="L621" s="328"/>
      <c r="M621" s="328"/>
      <c r="N621" s="328"/>
    </row>
    <row r="622" spans="1:14" x14ac:dyDescent="0.2">
      <c r="B622" s="349"/>
      <c r="C622" s="328"/>
      <c r="D622" s="328"/>
      <c r="E622" s="328"/>
      <c r="F622" s="328"/>
      <c r="G622" s="328"/>
      <c r="H622" s="328"/>
      <c r="I622" s="328"/>
      <c r="J622" s="328"/>
      <c r="K622" s="328"/>
      <c r="L622" s="328"/>
      <c r="M622" s="328"/>
      <c r="N622" s="328"/>
    </row>
    <row r="623" spans="1:14" x14ac:dyDescent="0.2">
      <c r="B623" s="349"/>
      <c r="C623" s="328"/>
      <c r="D623" s="328"/>
      <c r="E623" s="328"/>
      <c r="F623" s="328"/>
      <c r="G623" s="328"/>
      <c r="H623" s="328"/>
      <c r="I623" s="328"/>
      <c r="J623" s="328"/>
      <c r="K623" s="328"/>
      <c r="L623" s="328"/>
      <c r="M623" s="328"/>
      <c r="N623" s="328"/>
    </row>
    <row r="624" spans="1:14" x14ac:dyDescent="0.2">
      <c r="B624" s="349"/>
      <c r="C624" s="328"/>
      <c r="D624" s="328"/>
      <c r="E624" s="328"/>
      <c r="F624" s="328"/>
      <c r="G624" s="328"/>
      <c r="H624" s="328"/>
      <c r="I624" s="328"/>
      <c r="J624" s="328"/>
      <c r="K624" s="328"/>
      <c r="L624" s="328"/>
      <c r="M624" s="328"/>
      <c r="N624" s="328"/>
    </row>
    <row r="625" spans="2:14" x14ac:dyDescent="0.2">
      <c r="B625" s="349"/>
      <c r="C625" s="328"/>
      <c r="D625" s="328"/>
      <c r="E625" s="328"/>
      <c r="F625" s="328"/>
      <c r="G625" s="328"/>
      <c r="H625" s="328"/>
      <c r="I625" s="328"/>
      <c r="J625" s="328"/>
      <c r="K625" s="328"/>
      <c r="L625" s="328"/>
      <c r="M625" s="328"/>
      <c r="N625" s="328"/>
    </row>
    <row r="626" spans="2:14" x14ac:dyDescent="0.2">
      <c r="B626" s="349"/>
      <c r="C626" s="328"/>
      <c r="D626" s="328"/>
      <c r="E626" s="328"/>
      <c r="F626" s="328"/>
      <c r="G626" s="328"/>
      <c r="H626" s="328"/>
      <c r="I626" s="328"/>
      <c r="J626" s="328"/>
      <c r="K626" s="328"/>
      <c r="L626" s="328"/>
      <c r="M626" s="328"/>
      <c r="N626" s="328"/>
    </row>
    <row r="627" spans="2:14" x14ac:dyDescent="0.2">
      <c r="B627" s="349"/>
      <c r="C627" s="328"/>
      <c r="D627" s="328"/>
      <c r="E627" s="328"/>
      <c r="F627" s="328"/>
      <c r="G627" s="328"/>
      <c r="H627" s="328"/>
      <c r="I627" s="328"/>
      <c r="J627" s="328"/>
      <c r="K627" s="328"/>
      <c r="L627" s="328"/>
      <c r="M627" s="328"/>
      <c r="N627" s="328"/>
    </row>
    <row r="628" spans="2:14" x14ac:dyDescent="0.2">
      <c r="B628" s="349"/>
      <c r="C628" s="328"/>
      <c r="D628" s="328"/>
      <c r="E628" s="328"/>
      <c r="F628" s="328"/>
      <c r="G628" s="328"/>
      <c r="H628" s="328"/>
      <c r="I628" s="328"/>
      <c r="J628" s="328"/>
      <c r="K628" s="328"/>
      <c r="L628" s="328"/>
      <c r="M628" s="328"/>
      <c r="N628" s="328"/>
    </row>
    <row r="629" spans="2:14" x14ac:dyDescent="0.2">
      <c r="B629" s="350"/>
      <c r="C629" s="328"/>
      <c r="D629" s="328"/>
      <c r="E629" s="328"/>
      <c r="F629" s="328"/>
      <c r="G629" s="328"/>
      <c r="H629" s="328"/>
      <c r="I629" s="328"/>
      <c r="J629" s="328"/>
      <c r="K629" s="328"/>
      <c r="L629" s="328"/>
      <c r="M629" s="328"/>
      <c r="N629" s="328"/>
    </row>
    <row r="630" spans="2:14" x14ac:dyDescent="0.2">
      <c r="B630" s="349"/>
      <c r="C630" s="328"/>
      <c r="D630" s="328"/>
      <c r="E630" s="328"/>
      <c r="F630" s="328"/>
      <c r="G630" s="328"/>
      <c r="H630" s="328"/>
      <c r="I630" s="328"/>
      <c r="J630" s="328"/>
      <c r="K630" s="328"/>
      <c r="L630" s="328"/>
      <c r="M630" s="328"/>
      <c r="N630" s="328"/>
    </row>
    <row r="631" spans="2:14" x14ac:dyDescent="0.2">
      <c r="B631" s="349"/>
      <c r="C631" s="328"/>
      <c r="D631" s="328"/>
      <c r="E631" s="328"/>
      <c r="F631" s="328"/>
      <c r="G631" s="328"/>
      <c r="H631" s="328"/>
      <c r="I631" s="328"/>
      <c r="J631" s="328"/>
      <c r="K631" s="328"/>
      <c r="L631" s="328"/>
      <c r="M631" s="328"/>
      <c r="N631" s="328"/>
    </row>
    <row r="632" spans="2:14" x14ac:dyDescent="0.2">
      <c r="B632" s="349"/>
      <c r="C632" s="328"/>
      <c r="D632" s="328"/>
      <c r="E632" s="328"/>
      <c r="F632" s="328"/>
      <c r="G632" s="328"/>
      <c r="H632" s="328"/>
      <c r="I632" s="328"/>
      <c r="J632" s="328"/>
      <c r="K632" s="328"/>
      <c r="L632" s="328"/>
      <c r="M632" s="328"/>
      <c r="N632" s="328"/>
    </row>
    <row r="633" spans="2:14" x14ac:dyDescent="0.2">
      <c r="B633" s="349"/>
      <c r="C633" s="328"/>
      <c r="D633" s="328"/>
      <c r="E633" s="328"/>
      <c r="F633" s="328"/>
      <c r="G633" s="328"/>
      <c r="H633" s="328"/>
      <c r="I633" s="328"/>
      <c r="J633" s="328"/>
      <c r="K633" s="328"/>
      <c r="L633" s="328"/>
      <c r="M633" s="328"/>
      <c r="N633" s="328"/>
    </row>
    <row r="634" spans="2:14" x14ac:dyDescent="0.2">
      <c r="B634" s="349"/>
      <c r="C634" s="328"/>
      <c r="D634" s="328"/>
      <c r="E634" s="328"/>
      <c r="F634" s="328"/>
      <c r="G634" s="328"/>
      <c r="H634" s="328"/>
      <c r="I634" s="328"/>
      <c r="J634" s="328"/>
      <c r="K634" s="328"/>
      <c r="L634" s="328"/>
      <c r="M634" s="328"/>
      <c r="N634" s="328"/>
    </row>
    <row r="635" spans="2:14" x14ac:dyDescent="0.2">
      <c r="B635" s="349"/>
      <c r="C635" s="328"/>
      <c r="D635" s="328"/>
      <c r="E635" s="328"/>
      <c r="F635" s="328"/>
      <c r="G635" s="328"/>
      <c r="H635" s="328"/>
      <c r="I635" s="328"/>
      <c r="J635" s="328"/>
      <c r="K635" s="328"/>
      <c r="L635" s="328"/>
      <c r="M635" s="328"/>
      <c r="N635" s="328"/>
    </row>
    <row r="636" spans="2:14" x14ac:dyDescent="0.2">
      <c r="B636" s="349"/>
      <c r="C636" s="328"/>
      <c r="D636" s="328"/>
      <c r="E636" s="328"/>
      <c r="F636" s="328"/>
      <c r="G636" s="328"/>
      <c r="H636" s="328"/>
      <c r="I636" s="328"/>
      <c r="J636" s="328"/>
      <c r="K636" s="328"/>
      <c r="L636" s="328"/>
      <c r="M636" s="328"/>
      <c r="N636" s="328"/>
    </row>
    <row r="637" spans="2:14" x14ac:dyDescent="0.2">
      <c r="B637" s="349"/>
      <c r="C637" s="328"/>
      <c r="D637" s="328"/>
      <c r="E637" s="328"/>
      <c r="F637" s="328"/>
      <c r="G637" s="328"/>
      <c r="H637" s="328"/>
      <c r="I637" s="328"/>
      <c r="J637" s="328"/>
      <c r="K637" s="328"/>
      <c r="L637" s="328"/>
      <c r="M637" s="328"/>
      <c r="N637" s="328"/>
    </row>
    <row r="638" spans="2:14" x14ac:dyDescent="0.2">
      <c r="B638" s="349"/>
      <c r="C638" s="328"/>
      <c r="D638" s="328"/>
      <c r="E638" s="328"/>
      <c r="F638" s="328"/>
      <c r="G638" s="328"/>
      <c r="H638" s="328"/>
      <c r="I638" s="328"/>
      <c r="J638" s="328"/>
      <c r="K638" s="328"/>
      <c r="L638" s="328"/>
      <c r="M638" s="328"/>
      <c r="N638" s="328"/>
    </row>
    <row r="639" spans="2:14" x14ac:dyDescent="0.2">
      <c r="B639" s="349"/>
      <c r="C639" s="328"/>
      <c r="D639" s="328"/>
      <c r="E639" s="328"/>
      <c r="F639" s="328"/>
      <c r="G639" s="328"/>
      <c r="H639" s="328"/>
      <c r="I639" s="328"/>
      <c r="J639" s="328"/>
      <c r="K639" s="328"/>
      <c r="L639" s="328"/>
      <c r="M639" s="328"/>
      <c r="N639" s="328"/>
    </row>
    <row r="640" spans="2:14" x14ac:dyDescent="0.2">
      <c r="B640" s="349"/>
      <c r="C640" s="328"/>
      <c r="D640" s="328"/>
      <c r="E640" s="328"/>
      <c r="F640" s="328"/>
      <c r="G640" s="328"/>
      <c r="H640" s="328"/>
      <c r="I640" s="328"/>
      <c r="J640" s="328"/>
      <c r="K640" s="328"/>
      <c r="L640" s="328"/>
      <c r="M640" s="328"/>
      <c r="N640" s="328"/>
    </row>
    <row r="641" spans="1:14" x14ac:dyDescent="0.2">
      <c r="B641" s="349"/>
      <c r="C641" s="328"/>
      <c r="D641" s="328"/>
      <c r="E641" s="328"/>
      <c r="F641" s="328"/>
      <c r="G641" s="328"/>
      <c r="H641" s="328"/>
      <c r="I641" s="328"/>
      <c r="J641" s="328"/>
      <c r="K641" s="328"/>
      <c r="L641" s="328"/>
      <c r="M641" s="328"/>
      <c r="N641" s="328"/>
    </row>
    <row r="642" spans="1:14" x14ac:dyDescent="0.2">
      <c r="B642" s="344"/>
      <c r="C642" s="334"/>
      <c r="D642" s="334"/>
      <c r="E642" s="334"/>
      <c r="F642" s="334"/>
      <c r="G642" s="334"/>
      <c r="H642" s="334"/>
      <c r="I642" s="334"/>
      <c r="J642" s="334"/>
      <c r="K642" s="334"/>
      <c r="L642" s="334"/>
      <c r="M642" s="334"/>
      <c r="N642" s="334"/>
    </row>
    <row r="643" spans="1:14" x14ac:dyDescent="0.2">
      <c r="B643" s="345"/>
    </row>
    <row r="644" spans="1:14" x14ac:dyDescent="0.2">
      <c r="C644" s="328"/>
      <c r="D644" s="328"/>
      <c r="E644" s="328"/>
      <c r="F644" s="328"/>
      <c r="G644" s="328"/>
      <c r="H644" s="328"/>
      <c r="I644" s="328"/>
      <c r="J644" s="328"/>
      <c r="K644" s="328"/>
      <c r="L644" s="328"/>
      <c r="M644" s="328"/>
      <c r="N644" s="328"/>
    </row>
    <row r="645" spans="1:14" x14ac:dyDescent="0.2">
      <c r="B645" s="344"/>
      <c r="C645" s="334"/>
      <c r="D645" s="334"/>
      <c r="E645" s="334"/>
      <c r="F645" s="334"/>
      <c r="G645" s="334"/>
      <c r="H645" s="334"/>
      <c r="I645" s="334"/>
      <c r="J645" s="334"/>
      <c r="K645" s="334"/>
      <c r="L645" s="334"/>
      <c r="M645" s="334"/>
      <c r="N645" s="334"/>
    </row>
    <row r="646" spans="1:14" x14ac:dyDescent="0.2">
      <c r="A646" s="335"/>
      <c r="B646" s="345"/>
    </row>
    <row r="647" spans="1:14" x14ac:dyDescent="0.2">
      <c r="A647" s="337"/>
      <c r="B647" s="349"/>
      <c r="C647" s="328"/>
      <c r="D647" s="328"/>
      <c r="E647" s="328"/>
      <c r="F647" s="328"/>
      <c r="G647" s="328"/>
      <c r="H647" s="328"/>
      <c r="I647" s="328"/>
      <c r="J647" s="328"/>
      <c r="K647" s="328"/>
      <c r="L647" s="328"/>
      <c r="M647" s="328"/>
      <c r="N647" s="328"/>
    </row>
    <row r="648" spans="1:14" x14ac:dyDescent="0.2">
      <c r="A648" s="337"/>
      <c r="B648" s="349"/>
      <c r="C648" s="328"/>
      <c r="D648" s="328"/>
      <c r="E648" s="328"/>
      <c r="F648" s="328"/>
      <c r="G648" s="328"/>
      <c r="H648" s="328"/>
      <c r="I648" s="328"/>
      <c r="J648" s="328"/>
      <c r="K648" s="328"/>
      <c r="L648" s="328"/>
      <c r="M648" s="328"/>
      <c r="N648" s="328"/>
    </row>
    <row r="649" spans="1:14" x14ac:dyDescent="0.2">
      <c r="A649" s="337"/>
      <c r="B649" s="349"/>
      <c r="C649" s="328"/>
      <c r="D649" s="328"/>
      <c r="E649" s="328"/>
      <c r="F649" s="328"/>
      <c r="G649" s="328"/>
      <c r="H649" s="328"/>
      <c r="I649" s="328"/>
      <c r="J649" s="328"/>
      <c r="K649" s="328"/>
      <c r="L649" s="328"/>
      <c r="M649" s="328"/>
      <c r="N649" s="328"/>
    </row>
    <row r="650" spans="1:14" x14ac:dyDescent="0.2">
      <c r="A650" s="337"/>
      <c r="B650" s="349"/>
      <c r="C650" s="328"/>
      <c r="D650" s="328"/>
      <c r="E650" s="328"/>
      <c r="F650" s="328"/>
      <c r="G650" s="328"/>
      <c r="H650" s="328"/>
      <c r="I650" s="328"/>
      <c r="J650" s="328"/>
      <c r="K650" s="328"/>
      <c r="L650" s="328"/>
      <c r="M650" s="328"/>
      <c r="N650" s="328"/>
    </row>
    <row r="651" spans="1:14" x14ac:dyDescent="0.2">
      <c r="A651" s="337"/>
      <c r="B651" s="349"/>
      <c r="C651" s="328"/>
      <c r="D651" s="328"/>
      <c r="E651" s="328"/>
      <c r="F651" s="328"/>
      <c r="G651" s="328"/>
      <c r="H651" s="328"/>
      <c r="I651" s="328"/>
      <c r="J651" s="328"/>
      <c r="K651" s="328"/>
      <c r="L651" s="328"/>
      <c r="M651" s="328"/>
      <c r="N651" s="328"/>
    </row>
    <row r="652" spans="1:14" x14ac:dyDescent="0.2">
      <c r="A652" s="337"/>
      <c r="B652" s="349"/>
      <c r="C652" s="328"/>
      <c r="D652" s="328"/>
      <c r="E652" s="328"/>
      <c r="F652" s="328"/>
      <c r="G652" s="328"/>
      <c r="H652" s="328"/>
      <c r="I652" s="328"/>
      <c r="J652" s="328"/>
      <c r="K652" s="328"/>
      <c r="L652" s="328"/>
      <c r="M652" s="328"/>
      <c r="N652" s="328"/>
    </row>
    <row r="653" spans="1:14" x14ac:dyDescent="0.2">
      <c r="A653" s="337"/>
      <c r="B653" s="349"/>
      <c r="C653" s="328"/>
      <c r="D653" s="328"/>
      <c r="E653" s="328"/>
      <c r="F653" s="328"/>
      <c r="G653" s="328"/>
      <c r="H653" s="328"/>
      <c r="I653" s="328"/>
      <c r="J653" s="328"/>
      <c r="K653" s="328"/>
      <c r="L653" s="328"/>
      <c r="M653" s="328"/>
      <c r="N653" s="328"/>
    </row>
    <row r="654" spans="1:14" x14ac:dyDescent="0.2">
      <c r="A654" s="337"/>
      <c r="B654" s="349"/>
      <c r="C654" s="328"/>
      <c r="D654" s="328"/>
      <c r="E654" s="328"/>
      <c r="F654" s="328"/>
      <c r="G654" s="328"/>
      <c r="H654" s="328"/>
      <c r="I654" s="328"/>
      <c r="J654" s="328"/>
      <c r="K654" s="328"/>
      <c r="L654" s="328"/>
      <c r="M654" s="328"/>
      <c r="N654" s="328"/>
    </row>
    <row r="655" spans="1:14" x14ac:dyDescent="0.2">
      <c r="A655" s="337"/>
      <c r="B655" s="349"/>
      <c r="C655" s="328"/>
      <c r="D655" s="328"/>
      <c r="E655" s="328"/>
      <c r="F655" s="328"/>
      <c r="G655" s="328"/>
      <c r="H655" s="328"/>
      <c r="I655" s="328"/>
      <c r="J655" s="328"/>
      <c r="K655" s="328"/>
      <c r="L655" s="328"/>
      <c r="M655" s="328"/>
      <c r="N655" s="328"/>
    </row>
    <row r="656" spans="1:14" x14ac:dyDescent="0.2">
      <c r="A656" s="337"/>
      <c r="B656" s="350"/>
      <c r="C656" s="328"/>
      <c r="D656" s="328"/>
      <c r="E656" s="328"/>
      <c r="F656" s="328"/>
      <c r="G656" s="328"/>
      <c r="H656" s="328"/>
      <c r="I656" s="328"/>
      <c r="J656" s="328"/>
      <c r="K656" s="328"/>
      <c r="L656" s="328"/>
      <c r="M656" s="328"/>
      <c r="N656" s="328"/>
    </row>
    <row r="657" spans="1:14" x14ac:dyDescent="0.2">
      <c r="A657" s="337"/>
      <c r="B657" s="349"/>
      <c r="C657" s="328"/>
      <c r="D657" s="328"/>
      <c r="E657" s="328"/>
      <c r="F657" s="328"/>
      <c r="G657" s="328"/>
      <c r="H657" s="328"/>
      <c r="I657" s="328"/>
      <c r="J657" s="328"/>
      <c r="K657" s="328"/>
      <c r="L657" s="328"/>
      <c r="M657" s="328"/>
      <c r="N657" s="328"/>
    </row>
    <row r="658" spans="1:14" x14ac:dyDescent="0.2">
      <c r="A658" s="337"/>
      <c r="B658" s="349"/>
      <c r="C658" s="328"/>
      <c r="D658" s="328"/>
      <c r="E658" s="328"/>
      <c r="F658" s="328"/>
      <c r="G658" s="328"/>
      <c r="H658" s="328"/>
      <c r="I658" s="328"/>
      <c r="J658" s="328"/>
      <c r="K658" s="328"/>
      <c r="L658" s="328"/>
      <c r="M658" s="328"/>
      <c r="N658" s="328"/>
    </row>
    <row r="659" spans="1:14" x14ac:dyDescent="0.2">
      <c r="A659" s="337"/>
      <c r="B659" s="349"/>
      <c r="C659" s="328"/>
      <c r="D659" s="328"/>
      <c r="E659" s="328"/>
      <c r="F659" s="328"/>
      <c r="G659" s="328"/>
      <c r="H659" s="328"/>
      <c r="I659" s="328"/>
      <c r="J659" s="328"/>
      <c r="K659" s="328"/>
      <c r="L659" s="328"/>
      <c r="M659" s="328"/>
      <c r="N659" s="328"/>
    </row>
    <row r="660" spans="1:14" x14ac:dyDescent="0.2">
      <c r="A660" s="337"/>
      <c r="B660" s="349"/>
      <c r="C660" s="328"/>
      <c r="D660" s="328"/>
      <c r="E660" s="328"/>
      <c r="F660" s="328"/>
      <c r="G660" s="328"/>
      <c r="H660" s="328"/>
      <c r="I660" s="328"/>
      <c r="J660" s="328"/>
      <c r="K660" s="328"/>
      <c r="L660" s="328"/>
      <c r="M660" s="328"/>
      <c r="N660" s="328"/>
    </row>
    <row r="661" spans="1:14" x14ac:dyDescent="0.2">
      <c r="A661" s="337"/>
      <c r="B661" s="349"/>
      <c r="C661" s="328"/>
      <c r="D661" s="328"/>
      <c r="E661" s="328"/>
      <c r="F661" s="328"/>
      <c r="G661" s="328"/>
      <c r="H661" s="328"/>
      <c r="I661" s="328"/>
      <c r="J661" s="328"/>
      <c r="K661" s="328"/>
      <c r="L661" s="328"/>
      <c r="M661" s="328"/>
      <c r="N661" s="328"/>
    </row>
    <row r="662" spans="1:14" x14ac:dyDescent="0.2">
      <c r="A662" s="337"/>
      <c r="B662" s="349"/>
      <c r="C662" s="328"/>
      <c r="D662" s="328"/>
      <c r="E662" s="328"/>
      <c r="F662" s="328"/>
      <c r="G662" s="328"/>
      <c r="H662" s="328"/>
      <c r="I662" s="328"/>
      <c r="J662" s="328"/>
      <c r="K662" s="328"/>
      <c r="L662" s="328"/>
      <c r="M662" s="328"/>
      <c r="N662" s="328"/>
    </row>
    <row r="663" spans="1:14" x14ac:dyDescent="0.2">
      <c r="A663" s="337"/>
      <c r="B663" s="349"/>
      <c r="C663" s="328"/>
      <c r="D663" s="328"/>
      <c r="E663" s="328"/>
      <c r="F663" s="328"/>
      <c r="G663" s="328"/>
      <c r="H663" s="328"/>
      <c r="I663" s="328"/>
      <c r="J663" s="328"/>
      <c r="K663" s="328"/>
      <c r="L663" s="328"/>
      <c r="M663" s="328"/>
      <c r="N663" s="328"/>
    </row>
    <row r="664" spans="1:14" x14ac:dyDescent="0.2">
      <c r="A664" s="337"/>
      <c r="B664" s="349"/>
      <c r="C664" s="328"/>
      <c r="D664" s="328"/>
      <c r="E664" s="328"/>
      <c r="F664" s="328"/>
      <c r="G664" s="328"/>
      <c r="H664" s="328"/>
      <c r="I664" s="328"/>
      <c r="J664" s="328"/>
      <c r="K664" s="328"/>
      <c r="L664" s="328"/>
      <c r="M664" s="328"/>
      <c r="N664" s="328"/>
    </row>
    <row r="665" spans="1:14" x14ac:dyDescent="0.2">
      <c r="A665" s="337"/>
      <c r="B665" s="349"/>
      <c r="C665" s="328"/>
      <c r="D665" s="328"/>
      <c r="E665" s="328"/>
      <c r="F665" s="328"/>
      <c r="G665" s="328"/>
      <c r="H665" s="328"/>
      <c r="I665" s="328"/>
      <c r="J665" s="328"/>
      <c r="K665" s="328"/>
      <c r="L665" s="328"/>
      <c r="M665" s="328"/>
      <c r="N665" s="328"/>
    </row>
    <row r="666" spans="1:14" x14ac:dyDescent="0.2">
      <c r="A666" s="337"/>
      <c r="B666" s="349"/>
      <c r="C666" s="328"/>
      <c r="D666" s="328"/>
      <c r="E666" s="328"/>
      <c r="F666" s="328"/>
      <c r="G666" s="328"/>
      <c r="H666" s="328"/>
      <c r="I666" s="328"/>
      <c r="J666" s="328"/>
      <c r="K666" s="328"/>
      <c r="L666" s="328"/>
      <c r="M666" s="328"/>
      <c r="N666" s="328"/>
    </row>
    <row r="667" spans="1:14" x14ac:dyDescent="0.2">
      <c r="A667" s="337"/>
      <c r="B667" s="349"/>
      <c r="C667" s="328"/>
      <c r="D667" s="328"/>
      <c r="E667" s="328"/>
      <c r="F667" s="328"/>
      <c r="G667" s="328"/>
      <c r="H667" s="328"/>
      <c r="I667" s="328"/>
      <c r="J667" s="328"/>
      <c r="K667" s="328"/>
      <c r="L667" s="328"/>
      <c r="M667" s="328"/>
      <c r="N667" s="328"/>
    </row>
    <row r="668" spans="1:14" x14ac:dyDescent="0.2">
      <c r="A668" s="337"/>
      <c r="B668" s="349"/>
      <c r="C668" s="328"/>
      <c r="D668" s="328"/>
      <c r="E668" s="328"/>
      <c r="F668" s="328"/>
      <c r="G668" s="328"/>
      <c r="H668" s="328"/>
      <c r="I668" s="328"/>
      <c r="J668" s="328"/>
      <c r="K668" s="328"/>
      <c r="L668" s="328"/>
      <c r="M668" s="328"/>
      <c r="N668" s="328"/>
    </row>
    <row r="669" spans="1:14" x14ac:dyDescent="0.2">
      <c r="B669" s="344"/>
      <c r="C669" s="334"/>
      <c r="D669" s="334"/>
      <c r="E669" s="334"/>
      <c r="F669" s="334"/>
      <c r="G669" s="334"/>
      <c r="H669" s="334"/>
      <c r="I669" s="334"/>
      <c r="J669" s="334"/>
      <c r="K669" s="334"/>
      <c r="L669" s="334"/>
      <c r="M669" s="334"/>
      <c r="N669" s="334"/>
    </row>
    <row r="670" spans="1:14" x14ac:dyDescent="0.2">
      <c r="B670" s="345"/>
      <c r="C670" s="328"/>
      <c r="D670" s="328"/>
      <c r="E670" s="328"/>
      <c r="F670" s="328"/>
      <c r="G670" s="328"/>
      <c r="H670" s="328"/>
      <c r="I670" s="328"/>
      <c r="J670" s="328"/>
      <c r="K670" s="328"/>
      <c r="L670" s="328"/>
      <c r="M670" s="328"/>
      <c r="N670" s="328"/>
    </row>
    <row r="671" spans="1:14" x14ac:dyDescent="0.2">
      <c r="B671" s="349"/>
      <c r="C671" s="328"/>
      <c r="D671" s="328"/>
      <c r="E671" s="328"/>
      <c r="F671" s="328"/>
      <c r="G671" s="328"/>
      <c r="H671" s="328"/>
      <c r="I671" s="328"/>
      <c r="J671" s="328"/>
      <c r="K671" s="328"/>
      <c r="L671" s="328"/>
      <c r="M671" s="328"/>
      <c r="N671" s="328"/>
    </row>
    <row r="672" spans="1:14" x14ac:dyDescent="0.2">
      <c r="B672" s="349"/>
      <c r="C672" s="328"/>
      <c r="D672" s="328"/>
      <c r="E672" s="328"/>
      <c r="F672" s="328"/>
      <c r="G672" s="328"/>
      <c r="H672" s="328"/>
      <c r="I672" s="328"/>
      <c r="J672" s="328"/>
      <c r="K672" s="328"/>
      <c r="L672" s="328"/>
      <c r="M672" s="328"/>
      <c r="N672" s="328"/>
    </row>
    <row r="673" spans="2:14" x14ac:dyDescent="0.2">
      <c r="B673" s="349"/>
      <c r="C673" s="328"/>
      <c r="D673" s="328"/>
      <c r="E673" s="328"/>
      <c r="F673" s="328"/>
      <c r="G673" s="328"/>
      <c r="H673" s="328"/>
      <c r="I673" s="328"/>
      <c r="J673" s="328"/>
      <c r="K673" s="328"/>
      <c r="L673" s="328"/>
      <c r="M673" s="328"/>
      <c r="N673" s="328"/>
    </row>
    <row r="674" spans="2:14" x14ac:dyDescent="0.2">
      <c r="B674" s="349"/>
      <c r="C674" s="328"/>
      <c r="D674" s="328"/>
      <c r="E674" s="328"/>
      <c r="F674" s="328"/>
      <c r="G674" s="328"/>
      <c r="H674" s="328"/>
      <c r="I674" s="328"/>
      <c r="J674" s="328"/>
      <c r="K674" s="328"/>
      <c r="L674" s="328"/>
      <c r="M674" s="328"/>
      <c r="N674" s="328"/>
    </row>
    <row r="675" spans="2:14" x14ac:dyDescent="0.2">
      <c r="B675" s="349"/>
      <c r="C675" s="328"/>
      <c r="D675" s="328"/>
      <c r="E675" s="328"/>
      <c r="F675" s="328"/>
      <c r="G675" s="328"/>
      <c r="H675" s="328"/>
      <c r="I675" s="328"/>
      <c r="J675" s="328"/>
      <c r="K675" s="328"/>
      <c r="L675" s="328"/>
      <c r="M675" s="328"/>
      <c r="N675" s="328"/>
    </row>
    <row r="676" spans="2:14" x14ac:dyDescent="0.2">
      <c r="B676" s="349"/>
      <c r="C676" s="328"/>
      <c r="D676" s="328"/>
      <c r="E676" s="328"/>
      <c r="F676" s="328"/>
      <c r="G676" s="328"/>
      <c r="H676" s="328"/>
      <c r="I676" s="328"/>
      <c r="J676" s="328"/>
      <c r="K676" s="328"/>
      <c r="L676" s="328"/>
      <c r="M676" s="328"/>
      <c r="N676" s="328"/>
    </row>
    <row r="677" spans="2:14" x14ac:dyDescent="0.2">
      <c r="B677" s="349"/>
      <c r="C677" s="328"/>
      <c r="D677" s="328"/>
      <c r="E677" s="328"/>
      <c r="F677" s="328"/>
      <c r="G677" s="328"/>
      <c r="H677" s="328"/>
      <c r="I677" s="328"/>
      <c r="J677" s="328"/>
      <c r="K677" s="328"/>
      <c r="L677" s="328"/>
      <c r="M677" s="328"/>
      <c r="N677" s="328"/>
    </row>
    <row r="678" spans="2:14" x14ac:dyDescent="0.2">
      <c r="B678" s="349"/>
      <c r="C678" s="328"/>
      <c r="D678" s="328"/>
      <c r="E678" s="328"/>
      <c r="F678" s="328"/>
      <c r="G678" s="328"/>
      <c r="H678" s="328"/>
      <c r="I678" s="328"/>
      <c r="J678" s="328"/>
      <c r="K678" s="328"/>
      <c r="L678" s="328"/>
      <c r="M678" s="328"/>
      <c r="N678" s="328"/>
    </row>
    <row r="679" spans="2:14" x14ac:dyDescent="0.2">
      <c r="B679" s="349"/>
      <c r="C679" s="328"/>
      <c r="D679" s="328"/>
      <c r="E679" s="328"/>
      <c r="F679" s="328"/>
      <c r="G679" s="328"/>
      <c r="H679" s="328"/>
      <c r="I679" s="328"/>
      <c r="J679" s="328"/>
      <c r="K679" s="328"/>
      <c r="L679" s="328"/>
      <c r="M679" s="328"/>
      <c r="N679" s="328"/>
    </row>
    <row r="680" spans="2:14" x14ac:dyDescent="0.2">
      <c r="B680" s="350"/>
      <c r="C680" s="328"/>
      <c r="D680" s="328"/>
      <c r="E680" s="328"/>
      <c r="F680" s="328"/>
      <c r="G680" s="328"/>
      <c r="H680" s="328"/>
      <c r="I680" s="328"/>
      <c r="J680" s="328"/>
      <c r="K680" s="328"/>
      <c r="L680" s="328"/>
      <c r="M680" s="328"/>
      <c r="N680" s="328"/>
    </row>
    <row r="681" spans="2:14" x14ac:dyDescent="0.2">
      <c r="B681" s="349"/>
      <c r="C681" s="328"/>
      <c r="D681" s="328"/>
      <c r="E681" s="328"/>
      <c r="F681" s="328"/>
      <c r="G681" s="328"/>
      <c r="H681" s="328"/>
      <c r="I681" s="328"/>
      <c r="J681" s="328"/>
      <c r="K681" s="328"/>
      <c r="L681" s="328"/>
      <c r="M681" s="328"/>
      <c r="N681" s="328"/>
    </row>
    <row r="682" spans="2:14" x14ac:dyDescent="0.2">
      <c r="B682" s="349"/>
      <c r="C682" s="328"/>
      <c r="D682" s="328"/>
      <c r="E682" s="328"/>
      <c r="F682" s="328"/>
      <c r="G682" s="328"/>
      <c r="H682" s="328"/>
      <c r="I682" s="328"/>
      <c r="J682" s="328"/>
      <c r="K682" s="328"/>
      <c r="L682" s="328"/>
      <c r="M682" s="328"/>
      <c r="N682" s="328"/>
    </row>
    <row r="683" spans="2:14" x14ac:dyDescent="0.2">
      <c r="B683" s="349"/>
      <c r="C683" s="328"/>
      <c r="D683" s="328"/>
      <c r="E683" s="328"/>
      <c r="F683" s="328"/>
      <c r="G683" s="328"/>
      <c r="H683" s="328"/>
      <c r="I683" s="328"/>
      <c r="J683" s="328"/>
      <c r="K683" s="328"/>
      <c r="L683" s="328"/>
      <c r="M683" s="328"/>
      <c r="N683" s="328"/>
    </row>
    <row r="684" spans="2:14" x14ac:dyDescent="0.2">
      <c r="B684" s="349"/>
      <c r="C684" s="328"/>
      <c r="D684" s="328"/>
      <c r="E684" s="328"/>
      <c r="F684" s="328"/>
      <c r="G684" s="328"/>
      <c r="H684" s="328"/>
      <c r="I684" s="328"/>
      <c r="J684" s="328"/>
      <c r="K684" s="328"/>
      <c r="L684" s="328"/>
      <c r="M684" s="328"/>
      <c r="N684" s="328"/>
    </row>
    <row r="685" spans="2:14" x14ac:dyDescent="0.2">
      <c r="B685" s="349"/>
      <c r="C685" s="328"/>
      <c r="D685" s="328"/>
      <c r="E685" s="328"/>
      <c r="F685" s="328"/>
      <c r="G685" s="328"/>
      <c r="H685" s="328"/>
      <c r="I685" s="328"/>
      <c r="J685" s="328"/>
      <c r="K685" s="328"/>
      <c r="L685" s="328"/>
      <c r="M685" s="328"/>
      <c r="N685" s="328"/>
    </row>
    <row r="686" spans="2:14" x14ac:dyDescent="0.2">
      <c r="B686" s="349"/>
      <c r="C686" s="328"/>
      <c r="D686" s="328"/>
      <c r="E686" s="328"/>
      <c r="F686" s="328"/>
      <c r="G686" s="328"/>
      <c r="H686" s="328"/>
      <c r="I686" s="328"/>
      <c r="J686" s="328"/>
      <c r="K686" s="328"/>
      <c r="L686" s="328"/>
      <c r="M686" s="328"/>
      <c r="N686" s="328"/>
    </row>
    <row r="687" spans="2:14" x14ac:dyDescent="0.2">
      <c r="B687" s="349"/>
      <c r="C687" s="328"/>
      <c r="D687" s="328"/>
      <c r="E687" s="328"/>
      <c r="F687" s="328"/>
      <c r="G687" s="328"/>
      <c r="H687" s="328"/>
      <c r="I687" s="328"/>
      <c r="J687" s="328"/>
      <c r="K687" s="328"/>
      <c r="L687" s="328"/>
      <c r="M687" s="328"/>
      <c r="N687" s="328"/>
    </row>
    <row r="688" spans="2:14" x14ac:dyDescent="0.2">
      <c r="B688" s="349"/>
      <c r="C688" s="328"/>
      <c r="D688" s="328"/>
      <c r="E688" s="328"/>
      <c r="F688" s="328"/>
      <c r="G688" s="328"/>
      <c r="H688" s="328"/>
      <c r="I688" s="328"/>
      <c r="J688" s="328"/>
      <c r="K688" s="328"/>
      <c r="L688" s="328"/>
      <c r="M688" s="328"/>
      <c r="N688" s="328"/>
    </row>
    <row r="689" spans="1:14" x14ac:dyDescent="0.2">
      <c r="B689" s="349"/>
      <c r="C689" s="328"/>
      <c r="D689" s="328"/>
      <c r="E689" s="328"/>
      <c r="F689" s="328"/>
      <c r="G689" s="328"/>
      <c r="H689" s="328"/>
      <c r="I689" s="328"/>
      <c r="J689" s="328"/>
      <c r="K689" s="328"/>
      <c r="L689" s="328"/>
      <c r="M689" s="328"/>
      <c r="N689" s="328"/>
    </row>
    <row r="690" spans="1:14" x14ac:dyDescent="0.2">
      <c r="B690" s="349"/>
      <c r="C690" s="328"/>
      <c r="D690" s="328"/>
      <c r="E690" s="328"/>
      <c r="F690" s="328"/>
      <c r="G690" s="328"/>
      <c r="H690" s="328"/>
      <c r="I690" s="328"/>
      <c r="J690" s="328"/>
      <c r="K690" s="328"/>
      <c r="L690" s="328"/>
      <c r="M690" s="328"/>
      <c r="N690" s="328"/>
    </row>
    <row r="691" spans="1:14" x14ac:dyDescent="0.2">
      <c r="B691" s="349"/>
      <c r="C691" s="328"/>
      <c r="D691" s="328"/>
      <c r="E691" s="328"/>
      <c r="F691" s="328"/>
      <c r="G691" s="328"/>
      <c r="H691" s="328"/>
      <c r="I691" s="328"/>
      <c r="J691" s="328"/>
      <c r="K691" s="328"/>
      <c r="L691" s="328"/>
      <c r="M691" s="328"/>
      <c r="N691" s="328"/>
    </row>
    <row r="692" spans="1:14" x14ac:dyDescent="0.2">
      <c r="B692" s="349"/>
      <c r="C692" s="328"/>
      <c r="D692" s="328"/>
      <c r="E692" s="328"/>
      <c r="F692" s="328"/>
      <c r="G692" s="328"/>
      <c r="H692" s="328"/>
      <c r="I692" s="328"/>
      <c r="J692" s="328"/>
      <c r="K692" s="328"/>
      <c r="L692" s="328"/>
      <c r="M692" s="328"/>
      <c r="N692" s="328"/>
    </row>
    <row r="693" spans="1:14" x14ac:dyDescent="0.2">
      <c r="B693" s="344"/>
      <c r="C693" s="334"/>
      <c r="D693" s="334"/>
      <c r="E693" s="334"/>
      <c r="F693" s="334"/>
      <c r="G693" s="334"/>
      <c r="H693" s="334"/>
      <c r="I693" s="334"/>
      <c r="J693" s="334"/>
      <c r="K693" s="334"/>
      <c r="L693" s="334"/>
      <c r="M693" s="334"/>
      <c r="N693" s="334"/>
    </row>
    <row r="694" spans="1:14" x14ac:dyDescent="0.2">
      <c r="B694" s="345"/>
    </row>
    <row r="695" spans="1:14" x14ac:dyDescent="0.2">
      <c r="C695" s="328"/>
      <c r="D695" s="328"/>
      <c r="E695" s="328"/>
      <c r="F695" s="328"/>
      <c r="G695" s="328"/>
      <c r="H695" s="328"/>
      <c r="I695" s="328"/>
      <c r="J695" s="328"/>
      <c r="K695" s="328"/>
      <c r="L695" s="328"/>
      <c r="M695" s="328"/>
      <c r="N695" s="328"/>
    </row>
    <row r="696" spans="1:14" x14ac:dyDescent="0.2">
      <c r="B696" s="344"/>
      <c r="C696" s="334"/>
      <c r="D696" s="334"/>
      <c r="E696" s="334"/>
      <c r="F696" s="334"/>
      <c r="G696" s="334"/>
      <c r="H696" s="334"/>
      <c r="I696" s="334"/>
      <c r="J696" s="334"/>
      <c r="K696" s="334"/>
      <c r="L696" s="334"/>
      <c r="M696" s="334"/>
      <c r="N696" s="334"/>
    </row>
    <row r="697" spans="1:14" x14ac:dyDescent="0.2">
      <c r="A697" s="335"/>
      <c r="B697" s="345"/>
    </row>
    <row r="698" spans="1:14" x14ac:dyDescent="0.2">
      <c r="A698" s="337"/>
      <c r="B698" s="349"/>
      <c r="C698" s="328"/>
      <c r="D698" s="328"/>
      <c r="E698" s="328"/>
      <c r="F698" s="328"/>
      <c r="G698" s="328"/>
      <c r="H698" s="328"/>
      <c r="I698" s="328"/>
      <c r="J698" s="328"/>
      <c r="K698" s="328"/>
      <c r="L698" s="328"/>
      <c r="M698" s="328"/>
      <c r="N698" s="328"/>
    </row>
    <row r="699" spans="1:14" x14ac:dyDescent="0.2">
      <c r="A699" s="337"/>
      <c r="B699" s="349"/>
      <c r="C699" s="328"/>
      <c r="D699" s="328"/>
      <c r="E699" s="328"/>
      <c r="F699" s="328"/>
      <c r="G699" s="328"/>
      <c r="H699" s="328"/>
      <c r="I699" s="328"/>
      <c r="J699" s="328"/>
      <c r="K699" s="328"/>
      <c r="L699" s="328"/>
      <c r="M699" s="328"/>
      <c r="N699" s="328"/>
    </row>
    <row r="700" spans="1:14" x14ac:dyDescent="0.2">
      <c r="A700" s="337"/>
      <c r="B700" s="349"/>
      <c r="C700" s="328"/>
      <c r="D700" s="328"/>
      <c r="E700" s="328"/>
      <c r="F700" s="328"/>
      <c r="G700" s="328"/>
      <c r="H700" s="328"/>
      <c r="I700" s="328"/>
      <c r="J700" s="328"/>
      <c r="K700" s="328"/>
      <c r="L700" s="328"/>
      <c r="M700" s="328"/>
      <c r="N700" s="328"/>
    </row>
    <row r="701" spans="1:14" x14ac:dyDescent="0.2">
      <c r="A701" s="337"/>
      <c r="B701" s="349"/>
      <c r="C701" s="328"/>
      <c r="D701" s="328"/>
      <c r="E701" s="328"/>
      <c r="F701" s="328"/>
      <c r="G701" s="328"/>
      <c r="H701" s="328"/>
      <c r="I701" s="328"/>
      <c r="J701" s="328"/>
      <c r="K701" s="328"/>
      <c r="L701" s="328"/>
      <c r="M701" s="328"/>
      <c r="N701" s="328"/>
    </row>
    <row r="702" spans="1:14" x14ac:dyDescent="0.2">
      <c r="A702" s="337"/>
      <c r="B702" s="349"/>
      <c r="C702" s="328"/>
      <c r="D702" s="328"/>
      <c r="E702" s="328"/>
      <c r="F702" s="328"/>
      <c r="G702" s="328"/>
      <c r="H702" s="328"/>
      <c r="I702" s="328"/>
      <c r="J702" s="328"/>
      <c r="K702" s="328"/>
      <c r="L702" s="328"/>
      <c r="M702" s="328"/>
      <c r="N702" s="328"/>
    </row>
    <row r="703" spans="1:14" x14ac:dyDescent="0.2">
      <c r="A703" s="337"/>
      <c r="B703" s="349"/>
      <c r="C703" s="328"/>
      <c r="D703" s="328"/>
      <c r="E703" s="328"/>
      <c r="F703" s="328"/>
      <c r="G703" s="328"/>
      <c r="H703" s="328"/>
      <c r="I703" s="328"/>
      <c r="J703" s="328"/>
      <c r="K703" s="328"/>
      <c r="L703" s="328"/>
      <c r="M703" s="328"/>
      <c r="N703" s="328"/>
    </row>
    <row r="704" spans="1:14" x14ac:dyDescent="0.2">
      <c r="A704" s="337"/>
      <c r="B704" s="349"/>
      <c r="C704" s="328"/>
      <c r="D704" s="328"/>
      <c r="E704" s="328"/>
      <c r="F704" s="328"/>
      <c r="G704" s="328"/>
      <c r="H704" s="328"/>
      <c r="I704" s="328"/>
      <c r="J704" s="328"/>
      <c r="K704" s="328"/>
      <c r="L704" s="328"/>
      <c r="M704" s="328"/>
      <c r="N704" s="328"/>
    </row>
    <row r="705" spans="1:14" x14ac:dyDescent="0.2">
      <c r="A705" s="337"/>
      <c r="B705" s="349"/>
      <c r="C705" s="328"/>
      <c r="D705" s="328"/>
      <c r="E705" s="328"/>
      <c r="F705" s="328"/>
      <c r="G705" s="328"/>
      <c r="H705" s="328"/>
      <c r="I705" s="328"/>
      <c r="J705" s="328"/>
      <c r="K705" s="328"/>
      <c r="L705" s="328"/>
      <c r="M705" s="328"/>
      <c r="N705" s="328"/>
    </row>
    <row r="706" spans="1:14" x14ac:dyDescent="0.2">
      <c r="A706" s="337"/>
      <c r="B706" s="349"/>
      <c r="C706" s="328"/>
      <c r="D706" s="328"/>
      <c r="E706" s="328"/>
      <c r="F706" s="328"/>
      <c r="G706" s="328"/>
      <c r="H706" s="328"/>
      <c r="I706" s="328"/>
      <c r="J706" s="328"/>
      <c r="K706" s="328"/>
      <c r="L706" s="328"/>
      <c r="M706" s="328"/>
      <c r="N706" s="328"/>
    </row>
    <row r="707" spans="1:14" x14ac:dyDescent="0.2">
      <c r="A707" s="337"/>
      <c r="B707" s="350"/>
      <c r="C707" s="328"/>
      <c r="D707" s="328"/>
      <c r="E707" s="328"/>
      <c r="F707" s="328"/>
      <c r="G707" s="328"/>
      <c r="H707" s="328"/>
      <c r="I707" s="328"/>
      <c r="J707" s="328"/>
      <c r="K707" s="328"/>
      <c r="L707" s="328"/>
      <c r="M707" s="328"/>
      <c r="N707" s="328"/>
    </row>
    <row r="708" spans="1:14" x14ac:dyDescent="0.2">
      <c r="A708" s="337"/>
      <c r="B708" s="349"/>
      <c r="C708" s="328"/>
      <c r="D708" s="328"/>
      <c r="E708" s="328"/>
      <c r="F708" s="328"/>
      <c r="G708" s="328"/>
      <c r="H708" s="328"/>
      <c r="I708" s="328"/>
      <c r="J708" s="328"/>
      <c r="K708" s="328"/>
      <c r="L708" s="328"/>
      <c r="M708" s="328"/>
      <c r="N708" s="328"/>
    </row>
    <row r="709" spans="1:14" x14ac:dyDescent="0.2">
      <c r="A709" s="337"/>
      <c r="B709" s="349"/>
      <c r="C709" s="328"/>
      <c r="D709" s="328"/>
      <c r="E709" s="328"/>
      <c r="F709" s="328"/>
      <c r="G709" s="328"/>
      <c r="H709" s="328"/>
      <c r="I709" s="328"/>
      <c r="J709" s="328"/>
      <c r="K709" s="328"/>
      <c r="L709" s="328"/>
      <c r="M709" s="328"/>
      <c r="N709" s="328"/>
    </row>
    <row r="710" spans="1:14" x14ac:dyDescent="0.2">
      <c r="A710" s="337"/>
      <c r="B710" s="349"/>
      <c r="C710" s="328"/>
      <c r="D710" s="328"/>
      <c r="E710" s="328"/>
      <c r="F710" s="328"/>
      <c r="G710" s="328"/>
      <c r="H710" s="328"/>
      <c r="I710" s="328"/>
      <c r="J710" s="328"/>
      <c r="K710" s="328"/>
      <c r="L710" s="328"/>
      <c r="M710" s="328"/>
      <c r="N710" s="328"/>
    </row>
    <row r="711" spans="1:14" x14ac:dyDescent="0.2">
      <c r="A711" s="337"/>
      <c r="B711" s="349"/>
      <c r="C711" s="328"/>
      <c r="D711" s="328"/>
      <c r="E711" s="328"/>
      <c r="F711" s="328"/>
      <c r="G711" s="328"/>
      <c r="H711" s="328"/>
      <c r="I711" s="328"/>
      <c r="J711" s="328"/>
      <c r="K711" s="328"/>
      <c r="L711" s="328"/>
      <c r="M711" s="328"/>
      <c r="N711" s="328"/>
    </row>
    <row r="712" spans="1:14" x14ac:dyDescent="0.2">
      <c r="A712" s="337"/>
      <c r="B712" s="349"/>
      <c r="C712" s="328"/>
      <c r="D712" s="328"/>
      <c r="E712" s="328"/>
      <c r="F712" s="328"/>
      <c r="G712" s="328"/>
      <c r="H712" s="328"/>
      <c r="I712" s="328"/>
      <c r="J712" s="328"/>
      <c r="K712" s="328"/>
      <c r="L712" s="328"/>
      <c r="M712" s="328"/>
      <c r="N712" s="328"/>
    </row>
    <row r="713" spans="1:14" x14ac:dyDescent="0.2">
      <c r="A713" s="337"/>
      <c r="B713" s="349"/>
      <c r="C713" s="328"/>
      <c r="D713" s="328"/>
      <c r="E713" s="328"/>
      <c r="F713" s="328"/>
      <c r="G713" s="328"/>
      <c r="H713" s="328"/>
      <c r="I713" s="328"/>
      <c r="J713" s="328"/>
      <c r="K713" s="328"/>
      <c r="L713" s="328"/>
      <c r="M713" s="328"/>
      <c r="N713" s="328"/>
    </row>
    <row r="714" spans="1:14" x14ac:dyDescent="0.2">
      <c r="A714" s="337"/>
      <c r="B714" s="349"/>
      <c r="C714" s="328"/>
      <c r="D714" s="328"/>
      <c r="E714" s="328"/>
      <c r="F714" s="328"/>
      <c r="G714" s="328"/>
      <c r="H714" s="328"/>
      <c r="I714" s="328"/>
      <c r="J714" s="328"/>
      <c r="K714" s="328"/>
      <c r="L714" s="328"/>
      <c r="M714" s="328"/>
      <c r="N714" s="328"/>
    </row>
    <row r="715" spans="1:14" x14ac:dyDescent="0.2">
      <c r="A715" s="337"/>
      <c r="B715" s="349"/>
      <c r="C715" s="328"/>
      <c r="D715" s="328"/>
      <c r="E715" s="328"/>
      <c r="F715" s="328"/>
      <c r="G715" s="328"/>
      <c r="H715" s="328"/>
      <c r="I715" s="328"/>
      <c r="J715" s="328"/>
      <c r="K715" s="328"/>
      <c r="L715" s="328"/>
      <c r="M715" s="328"/>
      <c r="N715" s="328"/>
    </row>
    <row r="716" spans="1:14" x14ac:dyDescent="0.2">
      <c r="A716" s="337"/>
      <c r="B716" s="349"/>
      <c r="C716" s="328"/>
      <c r="D716" s="328"/>
      <c r="E716" s="328"/>
      <c r="F716" s="328"/>
      <c r="G716" s="328"/>
      <c r="H716" s="328"/>
      <c r="I716" s="328"/>
      <c r="J716" s="328"/>
      <c r="K716" s="328"/>
      <c r="L716" s="328"/>
      <c r="M716" s="328"/>
      <c r="N716" s="328"/>
    </row>
    <row r="717" spans="1:14" x14ac:dyDescent="0.2">
      <c r="A717" s="337"/>
      <c r="B717" s="349"/>
      <c r="C717" s="328"/>
      <c r="D717" s="328"/>
      <c r="E717" s="328"/>
      <c r="F717" s="328"/>
      <c r="G717" s="328"/>
      <c r="H717" s="328"/>
      <c r="I717" s="328"/>
      <c r="J717" s="328"/>
      <c r="K717" s="328"/>
      <c r="L717" s="328"/>
      <c r="M717" s="328"/>
      <c r="N717" s="328"/>
    </row>
    <row r="718" spans="1:14" x14ac:dyDescent="0.2">
      <c r="A718" s="337"/>
      <c r="B718" s="349"/>
      <c r="C718" s="328"/>
      <c r="D718" s="328"/>
      <c r="E718" s="328"/>
      <c r="F718" s="328"/>
      <c r="G718" s="328"/>
      <c r="H718" s="328"/>
      <c r="I718" s="328"/>
      <c r="J718" s="328"/>
      <c r="K718" s="328"/>
      <c r="L718" s="328"/>
      <c r="M718" s="328"/>
      <c r="N718" s="328"/>
    </row>
    <row r="719" spans="1:14" x14ac:dyDescent="0.2">
      <c r="A719" s="337"/>
      <c r="B719" s="349"/>
      <c r="C719" s="328"/>
      <c r="D719" s="328"/>
      <c r="E719" s="328"/>
      <c r="F719" s="328"/>
      <c r="G719" s="328"/>
      <c r="H719" s="328"/>
      <c r="I719" s="328"/>
      <c r="J719" s="328"/>
      <c r="K719" s="328"/>
      <c r="L719" s="328"/>
      <c r="M719" s="328"/>
      <c r="N719" s="328"/>
    </row>
    <row r="720" spans="1:14" x14ac:dyDescent="0.2">
      <c r="B720" s="344"/>
      <c r="C720" s="334"/>
      <c r="D720" s="334"/>
      <c r="E720" s="334"/>
      <c r="F720" s="334"/>
      <c r="G720" s="334"/>
      <c r="H720" s="334"/>
      <c r="I720" s="334"/>
      <c r="J720" s="334"/>
      <c r="K720" s="334"/>
      <c r="L720" s="334"/>
      <c r="M720" s="334"/>
      <c r="N720" s="334"/>
    </row>
    <row r="721" spans="2:14" x14ac:dyDescent="0.2">
      <c r="B721" s="345"/>
      <c r="C721" s="328"/>
      <c r="D721" s="328"/>
      <c r="E721" s="328"/>
      <c r="F721" s="328"/>
      <c r="G721" s="328"/>
      <c r="H721" s="328"/>
      <c r="I721" s="328"/>
      <c r="J721" s="328"/>
      <c r="K721" s="328"/>
      <c r="L721" s="328"/>
      <c r="M721" s="328"/>
      <c r="N721" s="328"/>
    </row>
    <row r="722" spans="2:14" x14ac:dyDescent="0.2">
      <c r="B722" s="349"/>
      <c r="C722" s="328"/>
      <c r="D722" s="328"/>
      <c r="E722" s="328"/>
      <c r="F722" s="328"/>
      <c r="G722" s="328"/>
      <c r="H722" s="328"/>
      <c r="I722" s="328"/>
      <c r="J722" s="328"/>
      <c r="K722" s="328"/>
      <c r="L722" s="328"/>
      <c r="M722" s="328"/>
      <c r="N722" s="328"/>
    </row>
    <row r="723" spans="2:14" x14ac:dyDescent="0.2">
      <c r="B723" s="349"/>
      <c r="C723" s="328"/>
      <c r="D723" s="328"/>
      <c r="E723" s="328"/>
      <c r="F723" s="328"/>
      <c r="G723" s="328"/>
      <c r="H723" s="328"/>
      <c r="I723" s="328"/>
      <c r="J723" s="328"/>
      <c r="K723" s="328"/>
      <c r="L723" s="328"/>
      <c r="M723" s="328"/>
      <c r="N723" s="328"/>
    </row>
    <row r="724" spans="2:14" x14ac:dyDescent="0.2">
      <c r="B724" s="349"/>
      <c r="C724" s="328"/>
      <c r="D724" s="328"/>
      <c r="E724" s="328"/>
      <c r="F724" s="328"/>
      <c r="G724" s="328"/>
      <c r="H724" s="328"/>
      <c r="I724" s="328"/>
      <c r="J724" s="328"/>
      <c r="K724" s="328"/>
      <c r="L724" s="328"/>
      <c r="M724" s="328"/>
      <c r="N724" s="328"/>
    </row>
    <row r="725" spans="2:14" x14ac:dyDescent="0.2">
      <c r="B725" s="349"/>
      <c r="C725" s="328"/>
      <c r="D725" s="328"/>
      <c r="E725" s="328"/>
      <c r="F725" s="328"/>
      <c r="G725" s="328"/>
      <c r="H725" s="328"/>
      <c r="I725" s="328"/>
      <c r="J725" s="328"/>
      <c r="K725" s="328"/>
      <c r="L725" s="328"/>
      <c r="M725" s="328"/>
      <c r="N725" s="328"/>
    </row>
    <row r="726" spans="2:14" x14ac:dyDescent="0.2">
      <c r="B726" s="349"/>
      <c r="C726" s="328"/>
      <c r="D726" s="328"/>
      <c r="E726" s="328"/>
      <c r="F726" s="328"/>
      <c r="G726" s="328"/>
      <c r="H726" s="328"/>
      <c r="I726" s="328"/>
      <c r="J726" s="328"/>
      <c r="K726" s="328"/>
      <c r="L726" s="328"/>
      <c r="M726" s="328"/>
      <c r="N726" s="328"/>
    </row>
    <row r="727" spans="2:14" x14ac:dyDescent="0.2">
      <c r="B727" s="349"/>
      <c r="C727" s="328"/>
      <c r="D727" s="328"/>
      <c r="E727" s="328"/>
      <c r="F727" s="328"/>
      <c r="G727" s="328"/>
      <c r="H727" s="328"/>
      <c r="I727" s="328"/>
      <c r="J727" s="328"/>
      <c r="K727" s="328"/>
      <c r="L727" s="328"/>
      <c r="M727" s="328"/>
      <c r="N727" s="328"/>
    </row>
    <row r="728" spans="2:14" x14ac:dyDescent="0.2">
      <c r="B728" s="349"/>
      <c r="C728" s="328"/>
      <c r="D728" s="328"/>
      <c r="E728" s="328"/>
      <c r="F728" s="328"/>
      <c r="G728" s="328"/>
      <c r="H728" s="328"/>
      <c r="I728" s="328"/>
      <c r="J728" s="328"/>
      <c r="K728" s="328"/>
      <c r="L728" s="328"/>
      <c r="M728" s="328"/>
      <c r="N728" s="328"/>
    </row>
    <row r="729" spans="2:14" x14ac:dyDescent="0.2">
      <c r="B729" s="349"/>
      <c r="C729" s="328"/>
      <c r="D729" s="328"/>
      <c r="E729" s="328"/>
      <c r="F729" s="328"/>
      <c r="G729" s="328"/>
      <c r="H729" s="328"/>
      <c r="I729" s="328"/>
      <c r="J729" s="328"/>
      <c r="K729" s="328"/>
      <c r="L729" s="328"/>
      <c r="M729" s="328"/>
      <c r="N729" s="328"/>
    </row>
    <row r="730" spans="2:14" x14ac:dyDescent="0.2">
      <c r="B730" s="349"/>
      <c r="C730" s="328"/>
      <c r="D730" s="328"/>
      <c r="E730" s="328"/>
      <c r="F730" s="328"/>
      <c r="G730" s="328"/>
      <c r="H730" s="328"/>
      <c r="I730" s="328"/>
      <c r="J730" s="328"/>
      <c r="K730" s="328"/>
      <c r="L730" s="328"/>
      <c r="M730" s="328"/>
      <c r="N730" s="328"/>
    </row>
    <row r="731" spans="2:14" x14ac:dyDescent="0.2">
      <c r="B731" s="350"/>
      <c r="C731" s="328"/>
      <c r="D731" s="328"/>
      <c r="E731" s="328"/>
      <c r="F731" s="328"/>
      <c r="G731" s="328"/>
      <c r="H731" s="328"/>
      <c r="I731" s="328"/>
      <c r="J731" s="328"/>
      <c r="K731" s="328"/>
      <c r="L731" s="328"/>
      <c r="M731" s="328"/>
      <c r="N731" s="328"/>
    </row>
    <row r="732" spans="2:14" x14ac:dyDescent="0.2">
      <c r="B732" s="349"/>
      <c r="C732" s="328"/>
      <c r="D732" s="328"/>
      <c r="E732" s="328"/>
      <c r="F732" s="328"/>
      <c r="G732" s="328"/>
      <c r="H732" s="328"/>
      <c r="I732" s="328"/>
      <c r="J732" s="328"/>
      <c r="K732" s="328"/>
      <c r="L732" s="328"/>
      <c r="M732" s="328"/>
      <c r="N732" s="328"/>
    </row>
    <row r="733" spans="2:14" x14ac:dyDescent="0.2">
      <c r="B733" s="349"/>
      <c r="C733" s="328"/>
      <c r="D733" s="328"/>
      <c r="E733" s="328"/>
      <c r="F733" s="328"/>
      <c r="G733" s="328"/>
      <c r="H733" s="328"/>
      <c r="I733" s="328"/>
      <c r="J733" s="328"/>
      <c r="K733" s="328"/>
      <c r="L733" s="328"/>
      <c r="M733" s="328"/>
      <c r="N733" s="328"/>
    </row>
    <row r="734" spans="2:14" x14ac:dyDescent="0.2">
      <c r="B734" s="349"/>
      <c r="C734" s="328"/>
      <c r="D734" s="328"/>
      <c r="E734" s="328"/>
      <c r="F734" s="328"/>
      <c r="G734" s="328"/>
      <c r="H734" s="328"/>
      <c r="I734" s="328"/>
      <c r="J734" s="328"/>
      <c r="K734" s="328"/>
      <c r="L734" s="328"/>
      <c r="M734" s="328"/>
      <c r="N734" s="328"/>
    </row>
    <row r="735" spans="2:14" x14ac:dyDescent="0.2">
      <c r="B735" s="349"/>
      <c r="C735" s="328"/>
      <c r="D735" s="328"/>
      <c r="E735" s="328"/>
      <c r="F735" s="328"/>
      <c r="G735" s="328"/>
      <c r="H735" s="328"/>
      <c r="I735" s="328"/>
      <c r="J735" s="328"/>
      <c r="K735" s="328"/>
      <c r="L735" s="328"/>
      <c r="M735" s="328"/>
      <c r="N735" s="328"/>
    </row>
    <row r="736" spans="2:14" x14ac:dyDescent="0.2">
      <c r="B736" s="349"/>
      <c r="C736" s="328"/>
      <c r="D736" s="328"/>
      <c r="E736" s="328"/>
      <c r="F736" s="328"/>
      <c r="G736" s="328"/>
      <c r="H736" s="328"/>
      <c r="I736" s="328"/>
      <c r="J736" s="328"/>
      <c r="K736" s="328"/>
      <c r="L736" s="328"/>
      <c r="M736" s="328"/>
      <c r="N736" s="328"/>
    </row>
    <row r="737" spans="1:14" x14ac:dyDescent="0.2">
      <c r="B737" s="349"/>
      <c r="C737" s="328"/>
      <c r="D737" s="328"/>
      <c r="E737" s="328"/>
      <c r="F737" s="328"/>
      <c r="G737" s="328"/>
      <c r="H737" s="328"/>
      <c r="I737" s="328"/>
      <c r="J737" s="328"/>
      <c r="K737" s="328"/>
      <c r="L737" s="328"/>
      <c r="M737" s="328"/>
      <c r="N737" s="328"/>
    </row>
    <row r="738" spans="1:14" x14ac:dyDescent="0.2">
      <c r="B738" s="349"/>
      <c r="C738" s="328"/>
      <c r="D738" s="328"/>
      <c r="E738" s="328"/>
      <c r="F738" s="328"/>
      <c r="G738" s="328"/>
      <c r="H738" s="328"/>
      <c r="I738" s="328"/>
      <c r="J738" s="328"/>
      <c r="K738" s="328"/>
      <c r="L738" s="328"/>
      <c r="M738" s="328"/>
      <c r="N738" s="328"/>
    </row>
    <row r="739" spans="1:14" x14ac:dyDescent="0.2">
      <c r="B739" s="349"/>
      <c r="C739" s="328"/>
      <c r="D739" s="328"/>
      <c r="E739" s="328"/>
      <c r="F739" s="328"/>
      <c r="G739" s="328"/>
      <c r="H739" s="328"/>
      <c r="I739" s="328"/>
      <c r="J739" s="328"/>
      <c r="K739" s="328"/>
      <c r="L739" s="328"/>
      <c r="M739" s="328"/>
      <c r="N739" s="328"/>
    </row>
    <row r="740" spans="1:14" x14ac:dyDescent="0.2">
      <c r="B740" s="349"/>
      <c r="C740" s="328"/>
      <c r="D740" s="328"/>
      <c r="E740" s="328"/>
      <c r="F740" s="328"/>
      <c r="G740" s="328"/>
      <c r="H740" s="328"/>
      <c r="I740" s="328"/>
      <c r="J740" s="328"/>
      <c r="K740" s="328"/>
      <c r="L740" s="328"/>
      <c r="M740" s="328"/>
      <c r="N740" s="328"/>
    </row>
    <row r="741" spans="1:14" x14ac:dyDescent="0.2">
      <c r="B741" s="349"/>
      <c r="C741" s="328"/>
      <c r="D741" s="328"/>
      <c r="E741" s="328"/>
      <c r="F741" s="328"/>
      <c r="G741" s="328"/>
      <c r="H741" s="328"/>
      <c r="I741" s="328"/>
      <c r="J741" s="328"/>
      <c r="K741" s="328"/>
      <c r="L741" s="328"/>
      <c r="M741" s="328"/>
      <c r="N741" s="328"/>
    </row>
    <row r="742" spans="1:14" x14ac:dyDescent="0.2">
      <c r="B742" s="349"/>
      <c r="C742" s="328"/>
      <c r="D742" s="328"/>
      <c r="E742" s="328"/>
      <c r="F742" s="328"/>
      <c r="G742" s="328"/>
      <c r="H742" s="328"/>
      <c r="I742" s="328"/>
      <c r="J742" s="328"/>
      <c r="K742" s="328"/>
      <c r="L742" s="328"/>
      <c r="M742" s="328"/>
      <c r="N742" s="328"/>
    </row>
    <row r="743" spans="1:14" x14ac:dyDescent="0.2">
      <c r="B743" s="349"/>
      <c r="C743" s="328"/>
      <c r="D743" s="328"/>
      <c r="E743" s="328"/>
      <c r="F743" s="328"/>
      <c r="G743" s="328"/>
      <c r="H743" s="328"/>
      <c r="I743" s="328"/>
      <c r="J743" s="328"/>
      <c r="K743" s="328"/>
      <c r="L743" s="328"/>
      <c r="M743" s="328"/>
      <c r="N743" s="328"/>
    </row>
    <row r="744" spans="1:14" x14ac:dyDescent="0.2">
      <c r="B744" s="344"/>
      <c r="C744" s="334"/>
      <c r="D744" s="334"/>
      <c r="E744" s="334"/>
      <c r="F744" s="334"/>
      <c r="G744" s="334"/>
      <c r="H744" s="334"/>
      <c r="I744" s="334"/>
      <c r="J744" s="334"/>
      <c r="K744" s="334"/>
      <c r="L744" s="334"/>
      <c r="M744" s="334"/>
      <c r="N744" s="334"/>
    </row>
    <row r="745" spans="1:14" x14ac:dyDescent="0.2">
      <c r="B745" s="345"/>
    </row>
    <row r="746" spans="1:14" x14ac:dyDescent="0.2">
      <c r="C746" s="328"/>
      <c r="D746" s="328"/>
      <c r="E746" s="328"/>
      <c r="F746" s="328"/>
      <c r="G746" s="328"/>
      <c r="H746" s="328"/>
      <c r="I746" s="328"/>
      <c r="J746" s="328"/>
      <c r="K746" s="328"/>
      <c r="L746" s="328"/>
      <c r="M746" s="328"/>
      <c r="N746" s="328"/>
    </row>
    <row r="747" spans="1:14" x14ac:dyDescent="0.2">
      <c r="B747" s="344"/>
      <c r="C747" s="334"/>
      <c r="D747" s="334"/>
      <c r="E747" s="334"/>
      <c r="F747" s="334"/>
      <c r="G747" s="334"/>
      <c r="H747" s="334"/>
      <c r="I747" s="334"/>
      <c r="J747" s="334"/>
      <c r="K747" s="334"/>
      <c r="L747" s="334"/>
      <c r="M747" s="334"/>
      <c r="N747" s="334"/>
    </row>
    <row r="749" spans="1:14" ht="18.75" x14ac:dyDescent="0.2">
      <c r="B749" s="346"/>
      <c r="C749" s="332"/>
      <c r="D749" s="332"/>
      <c r="E749" s="332"/>
      <c r="F749" s="332"/>
      <c r="G749" s="332"/>
      <c r="H749" s="332"/>
      <c r="I749" s="332"/>
      <c r="J749" s="332"/>
      <c r="K749" s="332"/>
      <c r="L749" s="332"/>
      <c r="M749" s="332"/>
      <c r="N749" s="332"/>
    </row>
    <row r="750" spans="1:14" ht="18.75" x14ac:dyDescent="0.3">
      <c r="A750" s="319"/>
      <c r="B750" s="346"/>
      <c r="C750" s="332"/>
      <c r="D750" s="332"/>
      <c r="E750" s="332"/>
      <c r="F750" s="332"/>
      <c r="G750" s="332"/>
      <c r="H750" s="332"/>
      <c r="I750" s="332"/>
      <c r="J750" s="332"/>
      <c r="K750" s="332"/>
      <c r="L750" s="332"/>
      <c r="M750" s="332"/>
      <c r="N750" s="332"/>
    </row>
    <row r="751" spans="1:14" x14ac:dyDescent="0.2">
      <c r="A751" s="338"/>
      <c r="C751" s="328"/>
      <c r="D751" s="328"/>
      <c r="E751" s="328"/>
      <c r="F751" s="328"/>
      <c r="G751" s="328"/>
      <c r="H751" s="328"/>
      <c r="I751" s="328"/>
      <c r="J751" s="328"/>
      <c r="K751" s="328"/>
      <c r="L751" s="328"/>
      <c r="M751" s="328"/>
      <c r="N751" s="328"/>
    </row>
    <row r="752" spans="1:14" x14ac:dyDescent="0.2">
      <c r="A752" s="338"/>
      <c r="C752" s="328"/>
      <c r="D752" s="328"/>
      <c r="E752" s="328"/>
      <c r="F752" s="328"/>
      <c r="G752" s="328"/>
      <c r="H752" s="328"/>
      <c r="I752" s="328"/>
      <c r="J752" s="328"/>
      <c r="K752" s="328"/>
      <c r="L752" s="328"/>
      <c r="M752" s="328"/>
      <c r="N752" s="328"/>
    </row>
    <row r="753" spans="1:178" x14ac:dyDescent="0.2">
      <c r="A753" s="338"/>
      <c r="C753" s="328"/>
      <c r="D753" s="328"/>
      <c r="E753" s="328"/>
      <c r="F753" s="328"/>
      <c r="G753" s="328"/>
      <c r="H753" s="328"/>
      <c r="I753" s="328"/>
      <c r="J753" s="328"/>
      <c r="K753" s="328"/>
      <c r="L753" s="328"/>
      <c r="M753" s="328"/>
      <c r="N753" s="328"/>
    </row>
    <row r="754" spans="1:178" s="325" customFormat="1" x14ac:dyDescent="0.2">
      <c r="A754" s="338"/>
      <c r="B754" s="348"/>
      <c r="C754" s="324"/>
      <c r="D754" s="324"/>
      <c r="E754" s="324"/>
      <c r="F754" s="324"/>
      <c r="G754" s="324"/>
      <c r="H754" s="324"/>
      <c r="I754" s="324"/>
      <c r="J754" s="324"/>
      <c r="K754" s="324"/>
      <c r="L754" s="324"/>
      <c r="M754" s="324"/>
      <c r="N754" s="324"/>
    </row>
    <row r="755" spans="1:178" s="325" customFormat="1" x14ac:dyDescent="0.2">
      <c r="B755" s="348"/>
      <c r="C755" s="324"/>
      <c r="D755" s="324"/>
      <c r="E755" s="324"/>
      <c r="F755" s="324"/>
      <c r="G755" s="324"/>
      <c r="H755" s="324"/>
      <c r="I755" s="324"/>
      <c r="J755" s="324"/>
      <c r="K755" s="324"/>
      <c r="L755" s="324"/>
      <c r="M755" s="324"/>
      <c r="N755" s="324"/>
      <c r="FV755" s="324"/>
    </row>
    <row r="756" spans="1:178" s="325" customFormat="1" x14ac:dyDescent="0.2">
      <c r="B756" s="348"/>
      <c r="C756" s="324"/>
      <c r="D756" s="324"/>
      <c r="E756" s="324"/>
      <c r="F756" s="324"/>
      <c r="G756" s="324"/>
      <c r="H756" s="324"/>
      <c r="I756" s="324"/>
      <c r="J756" s="324"/>
      <c r="K756" s="324"/>
      <c r="L756" s="324"/>
      <c r="M756" s="324"/>
      <c r="N756" s="324"/>
    </row>
    <row r="757" spans="1:178" x14ac:dyDescent="0.2">
      <c r="A757" s="332"/>
      <c r="B757" s="344"/>
      <c r="C757" s="328"/>
      <c r="D757" s="328"/>
      <c r="E757" s="328"/>
      <c r="F757" s="328"/>
      <c r="G757" s="328"/>
      <c r="H757" s="328"/>
      <c r="I757" s="328"/>
      <c r="J757" s="328"/>
      <c r="K757" s="328"/>
      <c r="L757" s="328"/>
      <c r="M757" s="328"/>
      <c r="N757" s="328"/>
    </row>
    <row r="758" spans="1:178" x14ac:dyDescent="0.2">
      <c r="A758" s="333"/>
      <c r="C758" s="328"/>
      <c r="D758" s="328"/>
      <c r="E758" s="328"/>
      <c r="F758" s="328"/>
      <c r="G758" s="328"/>
      <c r="H758" s="328"/>
      <c r="I758" s="328"/>
      <c r="J758" s="328"/>
      <c r="K758" s="328"/>
      <c r="L758" s="328"/>
      <c r="M758" s="328"/>
      <c r="N758" s="328"/>
    </row>
    <row r="759" spans="1:178" x14ac:dyDescent="0.2">
      <c r="A759" s="333"/>
      <c r="C759" s="328"/>
      <c r="D759" s="328"/>
      <c r="E759" s="328"/>
      <c r="F759" s="328"/>
      <c r="G759" s="328"/>
      <c r="H759" s="328"/>
      <c r="I759" s="328"/>
      <c r="J759" s="328"/>
      <c r="K759" s="328"/>
      <c r="L759" s="328"/>
      <c r="M759" s="328"/>
      <c r="N759" s="328"/>
    </row>
    <row r="760" spans="1:178" x14ac:dyDescent="0.2">
      <c r="A760" s="333"/>
      <c r="C760" s="328"/>
      <c r="D760" s="328"/>
      <c r="E760" s="328"/>
      <c r="F760" s="328"/>
      <c r="G760" s="328"/>
      <c r="H760" s="328"/>
      <c r="I760" s="328"/>
      <c r="J760" s="328"/>
      <c r="K760" s="328"/>
      <c r="L760" s="328"/>
      <c r="M760" s="328"/>
      <c r="N760" s="328"/>
    </row>
    <row r="761" spans="1:178" s="332" customFormat="1" x14ac:dyDescent="0.2">
      <c r="B761" s="344"/>
      <c r="C761" s="334"/>
      <c r="D761" s="334"/>
      <c r="E761" s="334"/>
      <c r="F761" s="334"/>
      <c r="G761" s="334"/>
      <c r="H761" s="334"/>
      <c r="I761" s="334"/>
      <c r="J761" s="334"/>
      <c r="K761" s="334"/>
      <c r="L761" s="334"/>
      <c r="M761" s="334"/>
      <c r="N761" s="334"/>
    </row>
    <row r="762" spans="1:178" s="332" customFormat="1" x14ac:dyDescent="0.2">
      <c r="B762" s="344"/>
      <c r="C762" s="334"/>
      <c r="D762" s="334"/>
      <c r="E762" s="334"/>
      <c r="F762" s="334"/>
      <c r="G762" s="334"/>
      <c r="H762" s="334"/>
      <c r="I762" s="334"/>
      <c r="J762" s="334"/>
      <c r="K762" s="334"/>
      <c r="L762" s="334"/>
      <c r="M762" s="334"/>
      <c r="N762" s="334"/>
    </row>
    <row r="763" spans="1:178" s="332" customFormat="1" x14ac:dyDescent="0.2">
      <c r="A763" s="320"/>
      <c r="B763" s="344"/>
      <c r="C763" s="328"/>
      <c r="D763" s="328"/>
      <c r="E763" s="328"/>
      <c r="F763" s="328"/>
      <c r="G763" s="328"/>
      <c r="H763" s="328"/>
      <c r="I763" s="328"/>
      <c r="J763" s="328"/>
      <c r="K763" s="328"/>
      <c r="L763" s="328"/>
      <c r="M763" s="328"/>
      <c r="N763" s="328"/>
    </row>
    <row r="764" spans="1:178" x14ac:dyDescent="0.2">
      <c r="C764" s="328"/>
      <c r="D764" s="328"/>
      <c r="E764" s="328"/>
      <c r="F764" s="328"/>
      <c r="G764" s="328"/>
      <c r="H764" s="328"/>
      <c r="I764" s="328"/>
      <c r="J764" s="328"/>
      <c r="K764" s="328"/>
      <c r="L764" s="328"/>
      <c r="M764" s="328"/>
      <c r="N764" s="328"/>
    </row>
    <row r="765" spans="1:178" x14ac:dyDescent="0.2">
      <c r="C765" s="328"/>
      <c r="D765" s="328"/>
      <c r="E765" s="328"/>
      <c r="F765" s="328"/>
      <c r="G765" s="328"/>
      <c r="H765" s="328"/>
      <c r="I765" s="328"/>
      <c r="J765" s="328"/>
      <c r="K765" s="328"/>
      <c r="L765" s="328"/>
      <c r="M765" s="328"/>
      <c r="N765" s="328"/>
    </row>
    <row r="766" spans="1:178" s="332" customFormat="1" x14ac:dyDescent="0.2">
      <c r="B766" s="344"/>
      <c r="C766" s="334"/>
      <c r="D766" s="334"/>
      <c r="E766" s="334"/>
      <c r="F766" s="334"/>
      <c r="G766" s="334"/>
      <c r="H766" s="334"/>
      <c r="I766" s="334"/>
      <c r="J766" s="334"/>
      <c r="K766" s="334"/>
      <c r="L766" s="334"/>
      <c r="M766" s="334"/>
      <c r="N766" s="334"/>
    </row>
    <row r="767" spans="1:178" s="332" customFormat="1" x14ac:dyDescent="0.2">
      <c r="B767" s="344"/>
      <c r="C767" s="334"/>
      <c r="D767" s="334"/>
      <c r="E767" s="334"/>
      <c r="F767" s="334"/>
      <c r="G767" s="334"/>
      <c r="H767" s="334"/>
      <c r="I767" s="334"/>
      <c r="J767" s="334"/>
      <c r="K767" s="334"/>
      <c r="L767" s="334"/>
      <c r="M767" s="334"/>
      <c r="N767" s="334"/>
    </row>
    <row r="768" spans="1:178" s="332" customFormat="1" ht="12" customHeight="1" x14ac:dyDescent="0.2">
      <c r="A768" s="320"/>
      <c r="B768" s="344"/>
      <c r="C768" s="328"/>
      <c r="D768" s="328"/>
      <c r="E768" s="328"/>
      <c r="F768" s="328"/>
      <c r="G768" s="328"/>
      <c r="H768" s="328"/>
      <c r="I768" s="328"/>
      <c r="J768" s="328"/>
      <c r="K768" s="328"/>
      <c r="L768" s="328"/>
      <c r="M768" s="328"/>
      <c r="N768" s="328"/>
    </row>
    <row r="769" spans="1:14" s="332" customFormat="1" x14ac:dyDescent="0.2">
      <c r="B769" s="341"/>
      <c r="C769" s="334"/>
      <c r="D769" s="334"/>
      <c r="E769" s="334"/>
      <c r="F769" s="334"/>
      <c r="G769" s="334"/>
      <c r="H769" s="334"/>
      <c r="I769" s="334"/>
      <c r="J769" s="334"/>
      <c r="K769" s="334"/>
      <c r="L769" s="334"/>
      <c r="M769" s="334"/>
      <c r="N769" s="334"/>
    </row>
    <row r="770" spans="1:14" s="332" customFormat="1" x14ac:dyDescent="0.2">
      <c r="A770" s="320"/>
      <c r="B770" s="344"/>
      <c r="C770" s="334"/>
      <c r="D770" s="334"/>
      <c r="E770" s="334"/>
      <c r="F770" s="334"/>
      <c r="G770" s="334"/>
      <c r="H770" s="334"/>
      <c r="I770" s="334"/>
      <c r="J770" s="334"/>
      <c r="K770" s="334"/>
      <c r="L770" s="334"/>
      <c r="M770" s="334"/>
      <c r="N770" s="334"/>
    </row>
    <row r="771" spans="1:14" x14ac:dyDescent="0.2">
      <c r="A771" s="332"/>
      <c r="B771" s="344"/>
      <c r="C771" s="328"/>
      <c r="D771" s="328"/>
      <c r="E771" s="328"/>
      <c r="F771" s="328"/>
      <c r="G771" s="328"/>
      <c r="H771" s="328"/>
      <c r="I771" s="328"/>
      <c r="J771" s="328"/>
      <c r="K771" s="328"/>
      <c r="L771" s="328"/>
      <c r="M771" s="328"/>
      <c r="N771" s="328"/>
    </row>
    <row r="772" spans="1:14" x14ac:dyDescent="0.2">
      <c r="A772" s="333"/>
      <c r="C772" s="328"/>
      <c r="D772" s="328"/>
      <c r="E772" s="328"/>
      <c r="F772" s="328"/>
      <c r="G772" s="328"/>
      <c r="H772" s="328"/>
      <c r="I772" s="328"/>
      <c r="J772" s="328"/>
      <c r="K772" s="328"/>
      <c r="L772" s="328"/>
      <c r="M772" s="328"/>
      <c r="N772" s="328"/>
    </row>
    <row r="773" spans="1:14" x14ac:dyDescent="0.2">
      <c r="A773" s="333"/>
      <c r="C773" s="328"/>
      <c r="D773" s="328"/>
      <c r="E773" s="328"/>
      <c r="F773" s="328"/>
      <c r="G773" s="328"/>
      <c r="H773" s="328"/>
      <c r="I773" s="328"/>
      <c r="J773" s="328"/>
      <c r="K773" s="328"/>
      <c r="L773" s="328"/>
      <c r="M773" s="328"/>
      <c r="N773" s="328"/>
    </row>
    <row r="774" spans="1:14" x14ac:dyDescent="0.2">
      <c r="A774" s="333"/>
      <c r="C774" s="328"/>
      <c r="D774" s="328"/>
      <c r="E774" s="328"/>
      <c r="F774" s="328"/>
      <c r="G774" s="328"/>
      <c r="H774" s="328"/>
      <c r="I774" s="328"/>
      <c r="J774" s="328"/>
      <c r="K774" s="328"/>
      <c r="L774" s="328"/>
      <c r="M774" s="328"/>
      <c r="N774" s="328"/>
    </row>
    <row r="775" spans="1:14" s="332" customFormat="1" x14ac:dyDescent="0.2">
      <c r="B775" s="344"/>
      <c r="C775" s="334"/>
      <c r="D775" s="334"/>
      <c r="E775" s="334"/>
      <c r="F775" s="334"/>
      <c r="G775" s="334"/>
      <c r="H775" s="334"/>
      <c r="I775" s="334"/>
      <c r="J775" s="334"/>
      <c r="K775" s="334"/>
      <c r="L775" s="334"/>
      <c r="M775" s="334"/>
      <c r="N775" s="334"/>
    </row>
    <row r="776" spans="1:14" s="332" customFormat="1" x14ac:dyDescent="0.2">
      <c r="B776" s="344"/>
      <c r="C776" s="334"/>
      <c r="D776" s="334"/>
      <c r="E776" s="334"/>
      <c r="F776" s="334"/>
      <c r="G776" s="334"/>
      <c r="H776" s="334"/>
      <c r="I776" s="334"/>
      <c r="J776" s="334"/>
      <c r="K776" s="334"/>
      <c r="L776" s="334"/>
      <c r="M776" s="334"/>
      <c r="N776" s="334"/>
    </row>
    <row r="777" spans="1:14" s="332" customFormat="1" x14ac:dyDescent="0.2">
      <c r="A777" s="320"/>
      <c r="B777" s="344"/>
      <c r="C777" s="328"/>
      <c r="D777" s="328"/>
      <c r="E777" s="328"/>
      <c r="F777" s="328"/>
      <c r="G777" s="328"/>
      <c r="H777" s="328"/>
      <c r="I777" s="328"/>
      <c r="J777" s="328"/>
      <c r="K777" s="328"/>
      <c r="L777" s="328"/>
      <c r="M777" s="328"/>
      <c r="N777" s="328"/>
    </row>
    <row r="778" spans="1:14" x14ac:dyDescent="0.2">
      <c r="C778" s="328"/>
      <c r="D778" s="328"/>
      <c r="E778" s="328"/>
      <c r="F778" s="328"/>
      <c r="G778" s="328"/>
      <c r="H778" s="328"/>
      <c r="I778" s="328"/>
      <c r="J778" s="328"/>
      <c r="K778" s="328"/>
      <c r="L778" s="328"/>
      <c r="M778" s="328"/>
      <c r="N778" s="328"/>
    </row>
    <row r="779" spans="1:14" x14ac:dyDescent="0.2">
      <c r="C779" s="328"/>
      <c r="D779" s="328"/>
      <c r="E779" s="328"/>
      <c r="F779" s="328"/>
      <c r="G779" s="328"/>
      <c r="H779" s="328"/>
      <c r="I779" s="328"/>
      <c r="J779" s="328"/>
      <c r="K779" s="328"/>
      <c r="L779" s="328"/>
      <c r="M779" s="328"/>
      <c r="N779" s="328"/>
    </row>
    <row r="780" spans="1:14" s="332" customFormat="1" x14ac:dyDescent="0.2">
      <c r="B780" s="344"/>
      <c r="C780" s="334"/>
      <c r="D780" s="334"/>
      <c r="E780" s="334"/>
      <c r="F780" s="334"/>
      <c r="G780" s="334"/>
      <c r="H780" s="334"/>
      <c r="I780" s="334"/>
      <c r="J780" s="334"/>
      <c r="K780" s="334"/>
      <c r="L780" s="334"/>
      <c r="M780" s="334"/>
      <c r="N780" s="334"/>
    </row>
    <row r="781" spans="1:14" s="332" customFormat="1" x14ac:dyDescent="0.2">
      <c r="B781" s="344"/>
      <c r="C781" s="334"/>
      <c r="D781" s="334"/>
      <c r="E781" s="334"/>
      <c r="F781" s="334"/>
      <c r="G781" s="334"/>
      <c r="H781" s="334"/>
      <c r="I781" s="334"/>
      <c r="J781" s="334"/>
      <c r="K781" s="334"/>
      <c r="L781" s="334"/>
      <c r="M781" s="334"/>
      <c r="N781" s="334"/>
    </row>
    <row r="782" spans="1:14" s="332" customFormat="1" x14ac:dyDescent="0.2">
      <c r="A782" s="320"/>
      <c r="B782" s="344"/>
      <c r="C782" s="328"/>
      <c r="D782" s="328"/>
      <c r="E782" s="328"/>
      <c r="F782" s="328"/>
      <c r="G782" s="328"/>
      <c r="H782" s="328"/>
      <c r="I782" s="328"/>
      <c r="J782" s="328"/>
      <c r="K782" s="328"/>
      <c r="L782" s="328"/>
      <c r="M782" s="328"/>
      <c r="N782" s="328"/>
    </row>
    <row r="783" spans="1:14" s="332" customFormat="1" x14ac:dyDescent="0.2">
      <c r="B783" s="341"/>
      <c r="C783" s="334"/>
      <c r="D783" s="334"/>
      <c r="E783" s="334"/>
      <c r="F783" s="334"/>
      <c r="G783" s="334"/>
      <c r="H783" s="334"/>
      <c r="I783" s="334"/>
      <c r="J783" s="334"/>
      <c r="K783" s="334"/>
      <c r="L783" s="334"/>
      <c r="M783" s="334"/>
      <c r="N783" s="334"/>
    </row>
    <row r="784" spans="1:14" s="332" customFormat="1" x14ac:dyDescent="0.2">
      <c r="A784" s="320"/>
      <c r="B784" s="344"/>
      <c r="C784" s="334"/>
      <c r="D784" s="334"/>
      <c r="E784" s="334"/>
      <c r="F784" s="334"/>
      <c r="G784" s="334"/>
      <c r="H784" s="334"/>
      <c r="I784" s="334"/>
      <c r="J784" s="334"/>
      <c r="K784" s="334"/>
      <c r="L784" s="334"/>
      <c r="M784" s="334"/>
      <c r="N784" s="334"/>
    </row>
    <row r="785" spans="1:14" x14ac:dyDescent="0.2">
      <c r="B785" s="344"/>
      <c r="C785" s="328"/>
      <c r="D785" s="328"/>
      <c r="E785" s="328"/>
      <c r="F785" s="328"/>
      <c r="G785" s="328"/>
      <c r="H785" s="328"/>
      <c r="I785" s="328"/>
      <c r="J785" s="328"/>
      <c r="K785" s="328"/>
      <c r="L785" s="328"/>
      <c r="M785" s="328"/>
      <c r="N785" s="328"/>
    </row>
    <row r="786" spans="1:14" x14ac:dyDescent="0.2">
      <c r="A786" s="333"/>
      <c r="C786" s="328"/>
      <c r="D786" s="328"/>
      <c r="E786" s="328"/>
      <c r="F786" s="328"/>
      <c r="G786" s="328"/>
      <c r="H786" s="328"/>
      <c r="I786" s="328"/>
      <c r="J786" s="328"/>
      <c r="K786" s="328"/>
      <c r="L786" s="328"/>
      <c r="M786" s="328"/>
      <c r="N786" s="328"/>
    </row>
    <row r="787" spans="1:14" x14ac:dyDescent="0.2">
      <c r="A787" s="333"/>
      <c r="C787" s="328"/>
      <c r="D787" s="328"/>
      <c r="E787" s="328"/>
      <c r="F787" s="328"/>
      <c r="G787" s="328"/>
      <c r="H787" s="328"/>
      <c r="I787" s="328"/>
      <c r="J787" s="328"/>
      <c r="K787" s="328"/>
      <c r="L787" s="328"/>
      <c r="M787" s="328"/>
      <c r="N787" s="328"/>
    </row>
    <row r="788" spans="1:14" x14ac:dyDescent="0.2">
      <c r="A788" s="333"/>
      <c r="C788" s="328"/>
      <c r="D788" s="328"/>
      <c r="E788" s="328"/>
      <c r="F788" s="328"/>
      <c r="G788" s="328"/>
      <c r="H788" s="328"/>
      <c r="I788" s="328"/>
      <c r="J788" s="328"/>
      <c r="K788" s="328"/>
      <c r="L788" s="328"/>
      <c r="M788" s="328"/>
      <c r="N788" s="328"/>
    </row>
    <row r="789" spans="1:14" s="332" customFormat="1" x14ac:dyDescent="0.2">
      <c r="B789" s="344"/>
      <c r="C789" s="334"/>
      <c r="D789" s="334"/>
      <c r="E789" s="334"/>
      <c r="F789" s="334"/>
      <c r="G789" s="334"/>
      <c r="H789" s="334"/>
      <c r="I789" s="334"/>
      <c r="J789" s="334"/>
      <c r="K789" s="334"/>
      <c r="L789" s="334"/>
      <c r="M789" s="334"/>
      <c r="N789" s="334"/>
    </row>
    <row r="790" spans="1:14" s="332" customFormat="1" x14ac:dyDescent="0.2">
      <c r="B790" s="344"/>
      <c r="C790" s="334"/>
      <c r="D790" s="334"/>
      <c r="E790" s="334"/>
      <c r="F790" s="334"/>
      <c r="G790" s="334"/>
      <c r="H790" s="334"/>
      <c r="I790" s="334"/>
      <c r="J790" s="334"/>
      <c r="K790" s="334"/>
      <c r="L790" s="334"/>
      <c r="M790" s="334"/>
      <c r="N790" s="334"/>
    </row>
    <row r="791" spans="1:14" s="332" customFormat="1" x14ac:dyDescent="0.2">
      <c r="A791" s="320"/>
      <c r="B791" s="344"/>
      <c r="C791" s="328"/>
      <c r="D791" s="328"/>
      <c r="E791" s="328"/>
      <c r="F791" s="328"/>
      <c r="G791" s="328"/>
      <c r="H791" s="328"/>
      <c r="I791" s="328"/>
      <c r="J791" s="328"/>
      <c r="K791" s="328"/>
      <c r="L791" s="328"/>
      <c r="M791" s="328"/>
      <c r="N791" s="328"/>
    </row>
    <row r="792" spans="1:14" x14ac:dyDescent="0.2">
      <c r="C792" s="328"/>
      <c r="D792" s="328"/>
      <c r="E792" s="328"/>
      <c r="F792" s="328"/>
      <c r="G792" s="328"/>
      <c r="H792" s="328"/>
      <c r="I792" s="328"/>
      <c r="J792" s="328"/>
      <c r="K792" s="328"/>
      <c r="L792" s="328"/>
      <c r="M792" s="328"/>
      <c r="N792" s="328"/>
    </row>
    <row r="793" spans="1:14" x14ac:dyDescent="0.2">
      <c r="C793" s="328"/>
      <c r="D793" s="328"/>
      <c r="E793" s="328"/>
      <c r="F793" s="328"/>
      <c r="G793" s="328"/>
      <c r="H793" s="328"/>
      <c r="I793" s="328"/>
      <c r="J793" s="328"/>
      <c r="K793" s="328"/>
      <c r="L793" s="328"/>
      <c r="M793" s="328"/>
      <c r="N793" s="328"/>
    </row>
    <row r="794" spans="1:14" s="332" customFormat="1" x14ac:dyDescent="0.2">
      <c r="B794" s="344"/>
      <c r="C794" s="334"/>
      <c r="D794" s="334"/>
      <c r="E794" s="334"/>
      <c r="F794" s="334"/>
      <c r="G794" s="334"/>
      <c r="H794" s="334"/>
      <c r="I794" s="334"/>
      <c r="J794" s="334"/>
      <c r="K794" s="334"/>
      <c r="L794" s="334"/>
      <c r="M794" s="334"/>
      <c r="N794" s="334"/>
    </row>
    <row r="795" spans="1:14" s="332" customFormat="1" x14ac:dyDescent="0.2">
      <c r="B795" s="344"/>
      <c r="C795" s="334"/>
      <c r="D795" s="334"/>
      <c r="E795" s="334"/>
      <c r="F795" s="334"/>
      <c r="G795" s="334"/>
      <c r="H795" s="334"/>
      <c r="I795" s="334"/>
      <c r="J795" s="334"/>
      <c r="K795" s="334"/>
      <c r="L795" s="334"/>
      <c r="M795" s="334"/>
      <c r="N795" s="334"/>
    </row>
    <row r="796" spans="1:14" s="332" customFormat="1" x14ac:dyDescent="0.2">
      <c r="A796" s="320"/>
      <c r="B796" s="344"/>
      <c r="C796" s="328"/>
      <c r="D796" s="328"/>
      <c r="E796" s="328"/>
      <c r="F796" s="328"/>
      <c r="G796" s="328"/>
      <c r="H796" s="328"/>
      <c r="I796" s="328"/>
      <c r="J796" s="328"/>
      <c r="K796" s="328"/>
      <c r="L796" s="328"/>
      <c r="M796" s="328"/>
      <c r="N796" s="328"/>
    </row>
    <row r="797" spans="1:14" s="332" customFormat="1" x14ac:dyDescent="0.2">
      <c r="B797" s="341"/>
      <c r="C797" s="334"/>
      <c r="D797" s="334"/>
      <c r="E797" s="334"/>
      <c r="F797" s="334"/>
      <c r="G797" s="334"/>
      <c r="H797" s="334"/>
      <c r="I797" s="334"/>
      <c r="J797" s="334"/>
      <c r="K797" s="334"/>
      <c r="L797" s="334"/>
      <c r="M797" s="334"/>
      <c r="N797" s="334"/>
    </row>
    <row r="798" spans="1:14" s="332" customFormat="1" x14ac:dyDescent="0.2">
      <c r="B798" s="344"/>
      <c r="C798" s="334"/>
      <c r="D798" s="334"/>
      <c r="E798" s="334"/>
      <c r="F798" s="334"/>
      <c r="G798" s="334"/>
      <c r="H798" s="334"/>
      <c r="I798" s="334"/>
      <c r="J798" s="334"/>
      <c r="K798" s="334"/>
      <c r="L798" s="334"/>
      <c r="M798" s="334"/>
      <c r="N798" s="334"/>
    </row>
    <row r="799" spans="1:14" s="332" customFormat="1" x14ac:dyDescent="0.2">
      <c r="B799" s="344"/>
      <c r="C799" s="334"/>
      <c r="D799" s="334"/>
      <c r="E799" s="334"/>
      <c r="F799" s="334"/>
      <c r="G799" s="334"/>
      <c r="H799" s="334"/>
      <c r="I799" s="334"/>
      <c r="J799" s="334"/>
      <c r="K799" s="334"/>
      <c r="L799" s="334"/>
      <c r="M799" s="334"/>
      <c r="N799" s="334"/>
    </row>
    <row r="800" spans="1:14" x14ac:dyDescent="0.2">
      <c r="A800" s="333"/>
      <c r="C800" s="328"/>
      <c r="D800" s="328"/>
      <c r="E800" s="328"/>
      <c r="F800" s="328"/>
      <c r="G800" s="328"/>
      <c r="H800" s="328"/>
      <c r="I800" s="328"/>
      <c r="J800" s="328"/>
      <c r="K800" s="328"/>
      <c r="L800" s="328"/>
      <c r="M800" s="328"/>
      <c r="N800" s="328"/>
    </row>
    <row r="801" spans="1:14" x14ac:dyDescent="0.2">
      <c r="A801" s="333"/>
      <c r="C801" s="328"/>
      <c r="D801" s="328"/>
      <c r="E801" s="328"/>
      <c r="F801" s="328"/>
      <c r="G801" s="328"/>
      <c r="H801" s="328"/>
      <c r="I801" s="328"/>
      <c r="J801" s="328"/>
      <c r="K801" s="328"/>
      <c r="L801" s="328"/>
      <c r="M801" s="328"/>
      <c r="N801" s="328"/>
    </row>
    <row r="802" spans="1:14" x14ac:dyDescent="0.2">
      <c r="A802" s="333"/>
      <c r="C802" s="328"/>
      <c r="D802" s="328"/>
      <c r="E802" s="328"/>
      <c r="F802" s="328"/>
      <c r="G802" s="328"/>
      <c r="H802" s="328"/>
      <c r="I802" s="328"/>
      <c r="J802" s="328"/>
      <c r="K802" s="328"/>
      <c r="L802" s="328"/>
      <c r="M802" s="328"/>
      <c r="N802" s="328"/>
    </row>
    <row r="803" spans="1:14" s="332" customFormat="1" x14ac:dyDescent="0.2">
      <c r="B803" s="344"/>
      <c r="C803" s="334"/>
      <c r="D803" s="334"/>
      <c r="E803" s="334"/>
      <c r="F803" s="334"/>
      <c r="G803" s="334"/>
      <c r="H803" s="334"/>
      <c r="I803" s="334"/>
      <c r="J803" s="334"/>
      <c r="K803" s="334"/>
      <c r="L803" s="334"/>
      <c r="M803" s="334"/>
      <c r="N803" s="334"/>
    </row>
    <row r="804" spans="1:14" s="332" customFormat="1" x14ac:dyDescent="0.2">
      <c r="B804" s="344"/>
      <c r="C804" s="334"/>
      <c r="D804" s="334"/>
      <c r="E804" s="334"/>
      <c r="F804" s="334"/>
      <c r="G804" s="334"/>
      <c r="H804" s="334"/>
      <c r="I804" s="334"/>
      <c r="J804" s="334"/>
      <c r="K804" s="334"/>
      <c r="L804" s="334"/>
      <c r="M804" s="334"/>
      <c r="N804" s="334"/>
    </row>
    <row r="805" spans="1:14" s="332" customFormat="1" x14ac:dyDescent="0.2">
      <c r="A805" s="320"/>
      <c r="B805" s="344"/>
      <c r="C805" s="328"/>
      <c r="D805" s="328"/>
      <c r="E805" s="328"/>
      <c r="F805" s="328"/>
      <c r="G805" s="328"/>
      <c r="H805" s="328"/>
      <c r="I805" s="328"/>
      <c r="J805" s="328"/>
      <c r="K805" s="328"/>
      <c r="L805" s="328"/>
      <c r="M805" s="328"/>
      <c r="N805" s="328"/>
    </row>
    <row r="806" spans="1:14" x14ac:dyDescent="0.2">
      <c r="C806" s="328"/>
      <c r="D806" s="328"/>
      <c r="E806" s="328"/>
      <c r="F806" s="328"/>
      <c r="G806" s="328"/>
      <c r="H806" s="328"/>
      <c r="I806" s="328"/>
      <c r="J806" s="328"/>
      <c r="K806" s="328"/>
      <c r="L806" s="328"/>
      <c r="M806" s="328"/>
      <c r="N806" s="328"/>
    </row>
    <row r="807" spans="1:14" x14ac:dyDescent="0.2">
      <c r="C807" s="328"/>
      <c r="D807" s="328"/>
      <c r="E807" s="328"/>
      <c r="F807" s="328"/>
      <c r="G807" s="328"/>
      <c r="H807" s="328"/>
      <c r="I807" s="328"/>
      <c r="J807" s="328"/>
      <c r="K807" s="328"/>
      <c r="L807" s="328"/>
      <c r="M807" s="328"/>
      <c r="N807" s="328"/>
    </row>
    <row r="808" spans="1:14" s="332" customFormat="1" x14ac:dyDescent="0.2">
      <c r="B808" s="344"/>
      <c r="C808" s="334"/>
      <c r="D808" s="334"/>
      <c r="E808" s="334"/>
      <c r="F808" s="334"/>
      <c r="G808" s="334"/>
      <c r="H808" s="334"/>
      <c r="I808" s="334"/>
      <c r="J808" s="334"/>
      <c r="K808" s="334"/>
      <c r="L808" s="334"/>
      <c r="M808" s="334"/>
      <c r="N808" s="334"/>
    </row>
    <row r="809" spans="1:14" s="332" customFormat="1" x14ac:dyDescent="0.2">
      <c r="B809" s="344"/>
      <c r="C809" s="334"/>
      <c r="D809" s="334"/>
      <c r="E809" s="334"/>
      <c r="F809" s="334"/>
      <c r="G809" s="334"/>
      <c r="H809" s="334"/>
      <c r="I809" s="334"/>
      <c r="J809" s="334"/>
      <c r="K809" s="334"/>
      <c r="L809" s="334"/>
      <c r="M809" s="334"/>
      <c r="N809" s="334"/>
    </row>
    <row r="810" spans="1:14" s="332" customFormat="1" x14ac:dyDescent="0.2">
      <c r="A810" s="320"/>
      <c r="B810" s="344"/>
      <c r="C810" s="328"/>
      <c r="D810" s="328"/>
      <c r="E810" s="328"/>
      <c r="F810" s="328"/>
      <c r="G810" s="328"/>
      <c r="H810" s="328"/>
      <c r="I810" s="328"/>
      <c r="J810" s="328"/>
      <c r="K810" s="328"/>
      <c r="L810" s="328"/>
      <c r="M810" s="328"/>
      <c r="N810" s="328"/>
    </row>
    <row r="811" spans="1:14" s="332" customFormat="1" x14ac:dyDescent="0.2">
      <c r="B811" s="341"/>
      <c r="C811" s="334"/>
      <c r="D811" s="334"/>
      <c r="E811" s="334"/>
      <c r="F811" s="334"/>
      <c r="G811" s="334"/>
      <c r="H811" s="334"/>
      <c r="I811" s="334"/>
      <c r="J811" s="334"/>
      <c r="K811" s="334"/>
      <c r="L811" s="334"/>
      <c r="M811" s="334"/>
      <c r="N811" s="334"/>
    </row>
    <row r="812" spans="1:14" s="332" customFormat="1" x14ac:dyDescent="0.2">
      <c r="A812" s="320"/>
      <c r="B812" s="344"/>
      <c r="C812" s="328"/>
      <c r="D812" s="328"/>
      <c r="E812" s="328"/>
      <c r="F812" s="328"/>
      <c r="G812" s="328"/>
      <c r="H812" s="328"/>
      <c r="I812" s="328"/>
      <c r="J812" s="328"/>
      <c r="K812" s="328"/>
      <c r="L812" s="328"/>
      <c r="M812" s="328"/>
      <c r="N812" s="328"/>
    </row>
  </sheetData>
  <phoneticPr fontId="2" type="noConversion"/>
  <pageMargins left="0.74803149606299213" right="0.74803149606299213" top="0.98425196850393704" bottom="0.98425196850393704" header="0.51181102362204722" footer="0.51181102362204722"/>
  <pageSetup paperSize="9" scale="58" fitToHeight="0" orientation="landscape" r:id="rId1"/>
  <headerFooter alignWithMargins="0">
    <oddHeader>&amp;L&amp;"Arial,Bold"&amp;12&amp;K01+049ПРИЛОЖЕНИЕ 1&amp;C&amp;"Arial,Bold"&amp;12&amp;K01+049Модел за изчисляване на броя необходими съдове и транспортни средства</oddHeader>
    <oddFooter>&amp;LInputs-population&amp;R&amp;P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9"/>
  <sheetViews>
    <sheetView zoomScaleNormal="100" workbookViewId="0">
      <selection activeCell="H50" sqref="H50"/>
    </sheetView>
  </sheetViews>
  <sheetFormatPr defaultColWidth="9.140625" defaultRowHeight="15" x14ac:dyDescent="0.25"/>
  <cols>
    <col min="1" max="1" width="68" style="55" customWidth="1"/>
    <col min="2" max="2" width="3" style="55" customWidth="1"/>
    <col min="3" max="3" width="10.5703125" style="64" customWidth="1"/>
    <col min="4" max="4" width="23.85546875" style="55" customWidth="1"/>
    <col min="5" max="16384" width="9.140625" style="55"/>
  </cols>
  <sheetData>
    <row r="1" spans="1:4" ht="21" x14ac:dyDescent="0.35">
      <c r="A1" s="165" t="s">
        <v>151</v>
      </c>
    </row>
    <row r="2" spans="1:4" ht="21" x14ac:dyDescent="0.35">
      <c r="A2" s="100" t="str">
        <f>'Изходни данни'!A2</f>
        <v>Име</v>
      </c>
      <c r="B2" s="5"/>
    </row>
    <row r="3" spans="1:4" s="62" customFormat="1" ht="23.25" x14ac:dyDescent="0.35">
      <c r="A3" s="164" t="s">
        <v>26</v>
      </c>
      <c r="B3" s="140"/>
      <c r="C3" s="140"/>
      <c r="D3" s="140"/>
    </row>
    <row r="4" spans="1:4" ht="8.25" customHeight="1" x14ac:dyDescent="0.25"/>
    <row r="5" spans="1:4" ht="15.6" customHeight="1" x14ac:dyDescent="0.25">
      <c r="A5" s="22" t="s">
        <v>177</v>
      </c>
      <c r="C5" s="186">
        <v>3</v>
      </c>
      <c r="D5" s="456" t="s">
        <v>230</v>
      </c>
    </row>
    <row r="6" spans="1:4" ht="30" x14ac:dyDescent="0.25">
      <c r="A6" s="22" t="s">
        <v>242</v>
      </c>
      <c r="B6" s="57"/>
      <c r="D6" s="57"/>
    </row>
    <row r="7" spans="1:4" s="63" customFormat="1" x14ac:dyDescent="0.25">
      <c r="A7" s="98" t="str">
        <f>"в "&amp;'Изходни данни'!A$5</f>
        <v>в малки населени места (до 3000 жители)</v>
      </c>
      <c r="B7" s="60"/>
      <c r="C7" s="65">
        <v>20</v>
      </c>
      <c r="D7" s="59" t="s">
        <v>61</v>
      </c>
    </row>
    <row r="8" spans="1:4" s="63" customFormat="1" x14ac:dyDescent="0.25">
      <c r="A8" s="98" t="str">
        <f>"в "&amp;'Изходни данни'!A$6</f>
        <v>в големи населени места (повече от 3000 жители)</v>
      </c>
      <c r="B8" s="60"/>
      <c r="C8" s="65">
        <v>10</v>
      </c>
      <c r="D8" s="59" t="s">
        <v>61</v>
      </c>
    </row>
    <row r="9" spans="1:4" ht="6" customHeight="1" x14ac:dyDescent="0.25">
      <c r="B9" s="59"/>
      <c r="D9" s="59"/>
    </row>
    <row r="10" spans="1:4" ht="30" x14ac:dyDescent="0.25">
      <c r="A10" s="22" t="s">
        <v>241</v>
      </c>
      <c r="B10" s="57"/>
      <c r="D10" s="57"/>
    </row>
    <row r="11" spans="1:4" s="63" customFormat="1" x14ac:dyDescent="0.25">
      <c r="A11" s="98" t="str">
        <f>"в "&amp;'Изходни данни'!A$5</f>
        <v>в малки населени места (до 3000 жители)</v>
      </c>
      <c r="B11" s="60"/>
      <c r="C11" s="65">
        <v>20</v>
      </c>
      <c r="D11" s="59" t="s">
        <v>61</v>
      </c>
    </row>
    <row r="12" spans="1:4" s="63" customFormat="1" x14ac:dyDescent="0.25">
      <c r="A12" s="98" t="str">
        <f>"в "&amp;'Изходни данни'!A$6</f>
        <v>в големи населени места (повече от 3000 жители)</v>
      </c>
      <c r="B12" s="60"/>
      <c r="C12" s="65">
        <v>10</v>
      </c>
      <c r="D12" s="59" t="s">
        <v>61</v>
      </c>
    </row>
    <row r="13" spans="1:4" ht="29.45" customHeight="1" x14ac:dyDescent="0.25">
      <c r="B13" s="59"/>
      <c r="D13" s="59"/>
    </row>
    <row r="14" spans="1:4" x14ac:dyDescent="0.25">
      <c r="A14" s="55" t="s">
        <v>27</v>
      </c>
      <c r="B14" s="59"/>
      <c r="C14" s="65">
        <v>5</v>
      </c>
      <c r="D14" s="59" t="s">
        <v>28</v>
      </c>
    </row>
    <row r="15" spans="1:4" x14ac:dyDescent="0.25">
      <c r="A15" s="55" t="s">
        <v>29</v>
      </c>
      <c r="B15" s="59"/>
      <c r="C15" s="65">
        <v>8</v>
      </c>
      <c r="D15" s="59" t="s">
        <v>30</v>
      </c>
    </row>
    <row r="16" spans="1:4" x14ac:dyDescent="0.25">
      <c r="A16" s="5" t="s">
        <v>178</v>
      </c>
      <c r="B16" s="59"/>
      <c r="C16" s="65">
        <v>1</v>
      </c>
      <c r="D16" s="59" t="s">
        <v>32</v>
      </c>
    </row>
    <row r="17" spans="1:4" ht="24.75" customHeight="1" x14ac:dyDescent="0.25">
      <c r="A17" s="56" t="s">
        <v>33</v>
      </c>
      <c r="B17" s="59"/>
      <c r="D17" s="59"/>
    </row>
    <row r="18" spans="1:4" x14ac:dyDescent="0.25">
      <c r="A18" s="5" t="s">
        <v>179</v>
      </c>
      <c r="B18" s="59"/>
      <c r="C18" s="65">
        <v>46</v>
      </c>
      <c r="D18" s="59" t="s">
        <v>34</v>
      </c>
    </row>
    <row r="19" spans="1:4" x14ac:dyDescent="0.25">
      <c r="A19" s="5" t="s">
        <v>180</v>
      </c>
      <c r="B19" s="59"/>
      <c r="C19" s="65">
        <v>5</v>
      </c>
      <c r="D19" s="59" t="s">
        <v>28</v>
      </c>
    </row>
    <row r="20" spans="1:4" x14ac:dyDescent="0.25">
      <c r="A20" s="5" t="s">
        <v>181</v>
      </c>
      <c r="B20" s="59"/>
      <c r="C20" s="67">
        <v>0.05</v>
      </c>
      <c r="D20" s="59"/>
    </row>
    <row r="21" spans="1:4" ht="6.75" customHeight="1" x14ac:dyDescent="0.25"/>
    <row r="22" spans="1:4" ht="17.25" customHeight="1" x14ac:dyDescent="0.25">
      <c r="A22" s="6" t="s">
        <v>182</v>
      </c>
      <c r="B22" s="59"/>
      <c r="D22" s="59"/>
    </row>
    <row r="23" spans="1:4" x14ac:dyDescent="0.25">
      <c r="A23" s="56" t="s">
        <v>42</v>
      </c>
      <c r="B23" s="59"/>
      <c r="D23" s="59"/>
    </row>
    <row r="24" spans="1:4" ht="17.25" x14ac:dyDescent="0.25">
      <c r="A24" s="98" t="s">
        <v>118</v>
      </c>
      <c r="B24" s="59"/>
      <c r="C24" s="65">
        <v>1.1000000000000001</v>
      </c>
      <c r="D24" s="59" t="s">
        <v>148</v>
      </c>
    </row>
    <row r="25" spans="1:4" ht="17.25" x14ac:dyDescent="0.25">
      <c r="A25" s="98" t="s">
        <v>119</v>
      </c>
      <c r="B25" s="59"/>
      <c r="C25" s="65">
        <v>1.5</v>
      </c>
      <c r="D25" s="59" t="s">
        <v>148</v>
      </c>
    </row>
    <row r="26" spans="1:4" ht="17.25" x14ac:dyDescent="0.25">
      <c r="A26" s="98" t="str">
        <f>"контейнери за биоотпадъци в "&amp;'Изходни данни'!A$6</f>
        <v>контейнери за биоотпадъци в големи населени места (повече от 3000 жители)</v>
      </c>
      <c r="B26" s="59"/>
      <c r="C26" s="66">
        <v>1.1000000000000001</v>
      </c>
      <c r="D26" s="59" t="s">
        <v>148</v>
      </c>
    </row>
    <row r="27" spans="1:4" ht="17.25" x14ac:dyDescent="0.25">
      <c r="A27" s="98" t="str">
        <f>"контейнери за биоотпадъци в "&amp;'Изходни данни'!A$5</f>
        <v>контейнери за биоотпадъци в малки населени места (до 3000 жители)</v>
      </c>
      <c r="B27" s="59"/>
      <c r="C27" s="66">
        <v>1.1000000000000001</v>
      </c>
      <c r="D27" s="59" t="s">
        <v>148</v>
      </c>
    </row>
    <row r="28" spans="1:4" ht="9" customHeight="1" x14ac:dyDescent="0.25">
      <c r="B28" s="59"/>
      <c r="D28" s="59"/>
    </row>
    <row r="29" spans="1:4" x14ac:dyDescent="0.25">
      <c r="A29" s="56" t="s">
        <v>150</v>
      </c>
      <c r="B29" s="59"/>
      <c r="D29" s="59"/>
    </row>
    <row r="30" spans="1:4" x14ac:dyDescent="0.25">
      <c r="A30" s="55" t="str">
        <f>"в "&amp;'Изходни данни'!A$5</f>
        <v>в малки населени места (до 3000 жители)</v>
      </c>
      <c r="B30" s="59"/>
      <c r="D30" s="59"/>
    </row>
    <row r="31" spans="1:4" x14ac:dyDescent="0.25">
      <c r="A31" s="98" t="s">
        <v>123</v>
      </c>
      <c r="B31" s="59"/>
      <c r="C31" s="65">
        <v>52</v>
      </c>
      <c r="D31" s="59" t="s">
        <v>45</v>
      </c>
    </row>
    <row r="32" spans="1:4" x14ac:dyDescent="0.25">
      <c r="A32" s="98" t="s">
        <v>124</v>
      </c>
      <c r="B32" s="59"/>
      <c r="C32" s="65">
        <v>52</v>
      </c>
      <c r="D32" s="59" t="s">
        <v>45</v>
      </c>
    </row>
    <row r="33" spans="1:9" x14ac:dyDescent="0.25">
      <c r="A33" s="98" t="s">
        <v>119</v>
      </c>
      <c r="B33" s="59"/>
      <c r="C33" s="65">
        <v>12</v>
      </c>
      <c r="D33" s="59" t="s">
        <v>45</v>
      </c>
    </row>
    <row r="34" spans="1:9" x14ac:dyDescent="0.25">
      <c r="A34" s="98" t="s">
        <v>205</v>
      </c>
      <c r="B34" s="59"/>
      <c r="C34" s="65">
        <v>52</v>
      </c>
      <c r="D34" s="59" t="s">
        <v>45</v>
      </c>
    </row>
    <row r="35" spans="1:9" x14ac:dyDescent="0.25">
      <c r="A35" s="55" t="str">
        <f>"в "&amp;'Изходни данни'!A6</f>
        <v>в големи населени места (повече от 3000 жители)</v>
      </c>
      <c r="B35" s="59"/>
      <c r="D35" s="59"/>
    </row>
    <row r="36" spans="1:9" x14ac:dyDescent="0.25">
      <c r="A36" s="98" t="s">
        <v>123</v>
      </c>
      <c r="B36" s="59"/>
      <c r="C36" s="65">
        <v>104</v>
      </c>
      <c r="D36" s="59" t="s">
        <v>45</v>
      </c>
    </row>
    <row r="37" spans="1:9" x14ac:dyDescent="0.25">
      <c r="A37" s="98" t="s">
        <v>124</v>
      </c>
      <c r="B37" s="59"/>
      <c r="C37" s="65">
        <v>104</v>
      </c>
      <c r="D37" s="59" t="s">
        <v>45</v>
      </c>
    </row>
    <row r="38" spans="1:9" x14ac:dyDescent="0.25">
      <c r="A38" s="98" t="s">
        <v>119</v>
      </c>
      <c r="B38" s="59"/>
      <c r="C38" s="65">
        <v>12</v>
      </c>
      <c r="D38" s="59" t="s">
        <v>45</v>
      </c>
    </row>
    <row r="39" spans="1:9" x14ac:dyDescent="0.25">
      <c r="A39" s="98" t="s">
        <v>205</v>
      </c>
      <c r="B39" s="59"/>
      <c r="C39" s="65">
        <v>52</v>
      </c>
      <c r="D39" s="59" t="s">
        <v>45</v>
      </c>
    </row>
    <row r="40" spans="1:9" x14ac:dyDescent="0.25">
      <c r="A40" s="56" t="s">
        <v>46</v>
      </c>
      <c r="B40" s="57"/>
      <c r="C40" s="67">
        <v>0.9</v>
      </c>
      <c r="D40" s="456" t="s">
        <v>231</v>
      </c>
    </row>
    <row r="41" spans="1:9" x14ac:dyDescent="0.25">
      <c r="A41" s="56" t="s">
        <v>149</v>
      </c>
      <c r="B41" s="57"/>
      <c r="C41" s="67">
        <v>0.05</v>
      </c>
      <c r="D41" s="456" t="s">
        <v>232</v>
      </c>
      <c r="I41" s="166"/>
    </row>
    <row r="42" spans="1:9" ht="7.5" customHeight="1" x14ac:dyDescent="0.25"/>
    <row r="43" spans="1:9" x14ac:dyDescent="0.25">
      <c r="A43" s="6" t="s">
        <v>183</v>
      </c>
      <c r="B43" s="57"/>
      <c r="C43" s="68"/>
      <c r="D43" s="57"/>
    </row>
    <row r="44" spans="1:9" x14ac:dyDescent="0.25">
      <c r="A44" s="58" t="s">
        <v>130</v>
      </c>
      <c r="B44" s="57"/>
      <c r="D44" s="57"/>
    </row>
    <row r="45" spans="1:9" x14ac:dyDescent="0.25">
      <c r="A45" s="99" t="s">
        <v>131</v>
      </c>
      <c r="B45" s="59"/>
      <c r="C45" s="65">
        <v>16</v>
      </c>
      <c r="D45" s="59" t="s">
        <v>133</v>
      </c>
    </row>
    <row r="46" spans="1:9" x14ac:dyDescent="0.25">
      <c r="A46" s="99" t="s">
        <v>132</v>
      </c>
      <c r="B46" s="59"/>
      <c r="C46" s="65">
        <v>18</v>
      </c>
      <c r="D46" s="59" t="s">
        <v>133</v>
      </c>
    </row>
    <row r="47" spans="1:9" x14ac:dyDescent="0.25">
      <c r="A47" s="99" t="s">
        <v>206</v>
      </c>
      <c r="B47" s="59"/>
      <c r="C47" s="65">
        <v>10</v>
      </c>
      <c r="D47" s="438" t="s">
        <v>133</v>
      </c>
    </row>
    <row r="48" spans="1:9" ht="9" customHeight="1" x14ac:dyDescent="0.25">
      <c r="B48" s="57"/>
      <c r="D48" s="57"/>
    </row>
    <row r="49" spans="1:4" ht="24.75" customHeight="1" x14ac:dyDescent="0.25">
      <c r="A49" s="58" t="s">
        <v>65</v>
      </c>
      <c r="B49" s="58"/>
      <c r="C49" s="65">
        <v>0.5</v>
      </c>
      <c r="D49" s="306" t="s">
        <v>30</v>
      </c>
    </row>
    <row r="50" spans="1:4" ht="7.5" customHeight="1" x14ac:dyDescent="0.25">
      <c r="A50" s="58"/>
      <c r="B50" s="58"/>
      <c r="D50" s="58"/>
    </row>
    <row r="51" spans="1:4" x14ac:dyDescent="0.25">
      <c r="A51" s="22" t="s">
        <v>184</v>
      </c>
      <c r="B51" s="58"/>
      <c r="C51" s="69"/>
      <c r="D51" s="58"/>
    </row>
    <row r="52" spans="1:4" x14ac:dyDescent="0.25">
      <c r="A52" s="55" t="str">
        <f>"в "&amp;'Изходни данни'!A5</f>
        <v>в малки населени места (до 3000 жители)</v>
      </c>
      <c r="B52" s="57"/>
      <c r="D52" s="57"/>
    </row>
    <row r="53" spans="1:4" x14ac:dyDescent="0.25">
      <c r="A53" s="98" t="s">
        <v>118</v>
      </c>
      <c r="B53" s="59"/>
      <c r="C53" s="66">
        <v>1.5</v>
      </c>
      <c r="D53" s="59" t="s">
        <v>68</v>
      </c>
    </row>
    <row r="54" spans="1:4" x14ac:dyDescent="0.25">
      <c r="A54" s="98" t="s">
        <v>119</v>
      </c>
      <c r="B54" s="59"/>
      <c r="C54" s="66">
        <v>3.5</v>
      </c>
      <c r="D54" s="59" t="s">
        <v>68</v>
      </c>
    </row>
    <row r="55" spans="1:4" x14ac:dyDescent="0.25">
      <c r="A55" s="98" t="s">
        <v>167</v>
      </c>
      <c r="B55" s="59"/>
      <c r="C55" s="66">
        <v>2</v>
      </c>
      <c r="D55" s="59" t="s">
        <v>68</v>
      </c>
    </row>
    <row r="56" spans="1:4" x14ac:dyDescent="0.25">
      <c r="A56" s="55" t="str">
        <f>"в "&amp;'Изходни данни'!A6</f>
        <v>в големи населени места (повече от 3000 жители)</v>
      </c>
      <c r="B56" s="57"/>
      <c r="C56" s="352"/>
      <c r="D56" s="57"/>
    </row>
    <row r="57" spans="1:4" x14ac:dyDescent="0.25">
      <c r="A57" s="98" t="s">
        <v>118</v>
      </c>
      <c r="B57" s="59"/>
      <c r="C57" s="66">
        <v>1.5</v>
      </c>
      <c r="D57" s="59" t="s">
        <v>68</v>
      </c>
    </row>
    <row r="58" spans="1:4" x14ac:dyDescent="0.25">
      <c r="A58" s="98" t="s">
        <v>119</v>
      </c>
      <c r="B58" s="59"/>
      <c r="C58" s="66">
        <v>3.5</v>
      </c>
      <c r="D58" s="59" t="s">
        <v>68</v>
      </c>
    </row>
    <row r="59" spans="1:4" x14ac:dyDescent="0.25">
      <c r="A59" s="98" t="s">
        <v>167</v>
      </c>
      <c r="B59" s="59"/>
      <c r="C59" s="66">
        <v>2</v>
      </c>
      <c r="D59" s="59" t="s">
        <v>68</v>
      </c>
    </row>
  </sheetData>
  <phoneticPr fontId="2" type="noConversion"/>
  <pageMargins left="0.74803149606299213" right="0.74803149606299213" top="0.98425196850393704" bottom="0.98425196850393704" header="0.51181102362204722" footer="0.51181102362204722"/>
  <pageSetup paperSize="9" scale="81" fitToHeight="2" orientation="portrait" r:id="rId1"/>
  <headerFooter alignWithMargins="0">
    <oddHeader>&amp;L&amp;"Calibri,Bold"&amp;12&amp;K01+048ПРИЛОЖЕНИЕ 1&amp;C&amp;"Calibri,Bold"&amp;12&amp;K01+048Модел за изчисление на броя на необходимите съдове и транспортни средства</oddHeader>
    <oddFooter>&amp;LInputs&amp;R&amp;P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S154"/>
  <sheetViews>
    <sheetView zoomScaleNormal="100" workbookViewId="0">
      <selection activeCell="D67" sqref="D67"/>
    </sheetView>
  </sheetViews>
  <sheetFormatPr defaultColWidth="9.140625" defaultRowHeight="15" x14ac:dyDescent="0.25"/>
  <cols>
    <col min="1" max="1" width="78.5703125" style="41" customWidth="1"/>
    <col min="2" max="2" width="12.140625" style="45" customWidth="1"/>
    <col min="3" max="3" width="14.140625" style="45" bestFit="1" customWidth="1"/>
    <col min="4" max="6" width="11.7109375" style="45" customWidth="1"/>
    <col min="7" max="7" width="10.5703125" style="45" customWidth="1"/>
    <col min="8" max="8" width="10.7109375" style="45" customWidth="1"/>
    <col min="9" max="14" width="9.140625" style="45"/>
    <col min="15" max="15" width="1.7109375" style="41" customWidth="1"/>
    <col min="16" max="16384" width="9.140625" style="41"/>
  </cols>
  <sheetData>
    <row r="1" spans="1:253" ht="23.25" x14ac:dyDescent="0.35">
      <c r="A1" s="114" t="str">
        <f>Допускания!A1</f>
        <v>Община</v>
      </c>
      <c r="B1" s="188"/>
      <c r="C1" s="189"/>
      <c r="D1" s="190"/>
      <c r="E1" s="47"/>
      <c r="F1" s="47"/>
      <c r="G1" s="47"/>
      <c r="H1" s="47"/>
      <c r="I1" s="47"/>
      <c r="J1" s="47"/>
    </row>
    <row r="2" spans="1:253" ht="23.25" x14ac:dyDescent="0.35">
      <c r="A2" s="114" t="str">
        <f>Допускания!A2</f>
        <v>Име</v>
      </c>
      <c r="B2" s="188"/>
      <c r="C2" s="189"/>
      <c r="D2" s="190"/>
      <c r="E2" s="47"/>
      <c r="F2" s="47"/>
      <c r="G2" s="47"/>
      <c r="H2" s="47"/>
      <c r="I2" s="47"/>
      <c r="J2" s="47"/>
    </row>
    <row r="3" spans="1:253" ht="11.25" customHeight="1" x14ac:dyDescent="0.25">
      <c r="A3" s="42"/>
      <c r="B3" s="47"/>
      <c r="C3" s="47"/>
      <c r="D3" s="47"/>
      <c r="E3" s="47"/>
      <c r="F3" s="47"/>
      <c r="G3" s="47"/>
      <c r="H3" s="47"/>
      <c r="I3" s="47"/>
      <c r="J3" s="47"/>
    </row>
    <row r="4" spans="1:253" s="193" customFormat="1" ht="35.25" customHeight="1" x14ac:dyDescent="0.35">
      <c r="A4" s="167" t="s">
        <v>153</v>
      </c>
      <c r="B4" s="167" t="s">
        <v>176</v>
      </c>
      <c r="C4" s="139">
        <f>'Масов баланс'!E5</f>
        <v>2024</v>
      </c>
      <c r="D4" s="139">
        <f>'Масов баланс'!F5</f>
        <v>2025</v>
      </c>
      <c r="E4" s="139">
        <f>'Масов баланс'!G5</f>
        <v>2026</v>
      </c>
      <c r="F4" s="139">
        <f>'Масов баланс'!H5</f>
        <v>2027</v>
      </c>
      <c r="G4" s="139">
        <f>'Масов баланс'!I5</f>
        <v>2028</v>
      </c>
      <c r="H4" s="139">
        <f>'Масов баланс'!J5</f>
        <v>2029</v>
      </c>
      <c r="I4" s="139">
        <f>'Масов баланс'!K5</f>
        <v>2030</v>
      </c>
      <c r="J4" s="139">
        <f>'Масов баланс'!L5</f>
        <v>2031</v>
      </c>
      <c r="K4" s="139">
        <f>'Масов баланс'!M5</f>
        <v>2032</v>
      </c>
      <c r="L4" s="139">
        <f>'Масов баланс'!N5</f>
        <v>2033</v>
      </c>
      <c r="M4" s="139">
        <f>'Масов баланс'!O5</f>
        <v>2034</v>
      </c>
      <c r="N4" s="139">
        <f>'Масов баланс'!P5</f>
        <v>2035</v>
      </c>
      <c r="O4" s="191"/>
      <c r="P4" s="192"/>
      <c r="Q4" s="192"/>
      <c r="R4" s="192"/>
      <c r="S4" s="192"/>
      <c r="T4" s="192"/>
      <c r="U4" s="192"/>
      <c r="V4" s="192"/>
      <c r="W4" s="192"/>
      <c r="X4" s="192"/>
      <c r="Y4" s="192"/>
      <c r="Z4" s="192"/>
      <c r="AA4" s="192"/>
      <c r="AB4" s="191"/>
      <c r="AC4" s="191"/>
      <c r="AD4" s="191"/>
      <c r="AE4" s="192"/>
      <c r="AF4" s="192"/>
      <c r="AG4" s="192"/>
      <c r="AH4" s="192"/>
      <c r="AI4" s="192"/>
      <c r="AJ4" s="192"/>
      <c r="AK4" s="192"/>
      <c r="AL4" s="192"/>
      <c r="AM4" s="192"/>
      <c r="AN4" s="192"/>
      <c r="AO4" s="192"/>
      <c r="AP4" s="192"/>
      <c r="AQ4" s="191"/>
      <c r="AR4" s="191"/>
      <c r="AS4" s="191"/>
      <c r="AT4" s="192"/>
      <c r="AU4" s="192"/>
      <c r="AV4" s="192"/>
      <c r="AW4" s="192"/>
      <c r="AX4" s="192"/>
      <c r="AY4" s="192"/>
      <c r="AZ4" s="192"/>
      <c r="BA4" s="192"/>
      <c r="BB4" s="192"/>
      <c r="BC4" s="192"/>
      <c r="BD4" s="192"/>
      <c r="BE4" s="192"/>
      <c r="BF4" s="191"/>
      <c r="BG4" s="191"/>
      <c r="BH4" s="191"/>
      <c r="BI4" s="192"/>
      <c r="BJ4" s="192"/>
      <c r="BK4" s="192"/>
      <c r="BL4" s="192"/>
      <c r="BM4" s="192"/>
      <c r="BN4" s="192"/>
      <c r="BO4" s="192"/>
      <c r="BP4" s="192"/>
      <c r="BQ4" s="192"/>
      <c r="BR4" s="192"/>
      <c r="BS4" s="192"/>
      <c r="BT4" s="192"/>
      <c r="BU4" s="191"/>
      <c r="BV4" s="191"/>
      <c r="BW4" s="191"/>
      <c r="BX4" s="192"/>
      <c r="BY4" s="192"/>
      <c r="BZ4" s="192"/>
      <c r="CA4" s="192"/>
      <c r="CB4" s="192"/>
      <c r="CC4" s="192"/>
      <c r="CD4" s="192"/>
      <c r="CE4" s="192"/>
      <c r="CF4" s="192"/>
      <c r="CG4" s="192"/>
      <c r="CH4" s="192"/>
      <c r="CI4" s="192"/>
      <c r="CJ4" s="191"/>
      <c r="CK4" s="191"/>
      <c r="CL4" s="191"/>
      <c r="CM4" s="192"/>
      <c r="CN4" s="192"/>
      <c r="CO4" s="192"/>
      <c r="CP4" s="192"/>
      <c r="CQ4" s="192"/>
      <c r="CR4" s="192"/>
      <c r="CS4" s="192"/>
      <c r="CT4" s="192"/>
      <c r="CU4" s="192"/>
      <c r="CV4" s="192"/>
      <c r="CW4" s="192"/>
      <c r="CX4" s="192"/>
      <c r="CY4" s="191"/>
      <c r="CZ4" s="191"/>
      <c r="DA4" s="191"/>
      <c r="DB4" s="192"/>
      <c r="DC4" s="192"/>
      <c r="DD4" s="192"/>
      <c r="DE4" s="192"/>
      <c r="DF4" s="192"/>
      <c r="DG4" s="192"/>
      <c r="DH4" s="192"/>
      <c r="DI4" s="192"/>
      <c r="DJ4" s="192"/>
      <c r="DK4" s="192"/>
      <c r="DL4" s="192"/>
      <c r="DM4" s="192"/>
      <c r="DN4" s="191"/>
      <c r="DO4" s="191"/>
      <c r="DP4" s="191"/>
      <c r="DQ4" s="192"/>
      <c r="DR4" s="192"/>
      <c r="DS4" s="192"/>
      <c r="DT4" s="192"/>
      <c r="DU4" s="192"/>
      <c r="DV4" s="192"/>
      <c r="DW4" s="192"/>
      <c r="DX4" s="192"/>
      <c r="DY4" s="192"/>
      <c r="DZ4" s="192"/>
      <c r="EA4" s="192"/>
      <c r="EB4" s="192"/>
      <c r="EC4" s="191"/>
      <c r="ED4" s="191"/>
      <c r="EE4" s="191"/>
      <c r="EF4" s="192"/>
      <c r="EG4" s="192"/>
      <c r="EH4" s="192"/>
      <c r="EI4" s="192"/>
      <c r="EJ4" s="192"/>
      <c r="EK4" s="192"/>
      <c r="EL4" s="192"/>
      <c r="EM4" s="192"/>
      <c r="EN4" s="192"/>
      <c r="EO4" s="192"/>
      <c r="EP4" s="192"/>
      <c r="EQ4" s="192"/>
      <c r="ER4" s="191"/>
      <c r="ES4" s="191"/>
      <c r="ET4" s="191"/>
      <c r="EU4" s="192"/>
      <c r="EV4" s="192"/>
      <c r="EW4" s="192"/>
      <c r="EX4" s="192"/>
      <c r="EY4" s="192"/>
      <c r="EZ4" s="192"/>
      <c r="FA4" s="192"/>
      <c r="FB4" s="192"/>
      <c r="FC4" s="192"/>
      <c r="FD4" s="192"/>
      <c r="FE4" s="192"/>
      <c r="FF4" s="192"/>
      <c r="FG4" s="191"/>
      <c r="FH4" s="191"/>
      <c r="FI4" s="191"/>
      <c r="FJ4" s="192"/>
      <c r="FK4" s="192"/>
      <c r="FL4" s="192"/>
      <c r="FM4" s="192"/>
      <c r="FN4" s="192"/>
      <c r="FO4" s="192"/>
      <c r="FP4" s="192"/>
      <c r="FQ4" s="192"/>
      <c r="FR4" s="192"/>
      <c r="FS4" s="192"/>
      <c r="FT4" s="192"/>
      <c r="FU4" s="192"/>
      <c r="FV4" s="191"/>
      <c r="FW4" s="191"/>
      <c r="FX4" s="191"/>
      <c r="FY4" s="192"/>
      <c r="FZ4" s="192"/>
      <c r="GA4" s="192"/>
      <c r="GB4" s="192"/>
      <c r="GC4" s="192"/>
      <c r="GD4" s="192"/>
      <c r="GE4" s="192"/>
      <c r="GF4" s="192"/>
      <c r="GG4" s="192"/>
      <c r="GH4" s="192"/>
      <c r="GI4" s="192"/>
      <c r="GJ4" s="192"/>
      <c r="GK4" s="191"/>
      <c r="GL4" s="191"/>
      <c r="GM4" s="191"/>
      <c r="GN4" s="192"/>
      <c r="GO4" s="192"/>
      <c r="GP4" s="192"/>
      <c r="GQ4" s="192"/>
      <c r="GR4" s="192"/>
      <c r="GS4" s="192"/>
      <c r="GT4" s="192"/>
      <c r="GU4" s="192"/>
      <c r="GV4" s="192"/>
      <c r="GW4" s="192"/>
      <c r="GX4" s="192"/>
      <c r="GY4" s="192"/>
      <c r="GZ4" s="191"/>
      <c r="HA4" s="191"/>
      <c r="HB4" s="191"/>
      <c r="HC4" s="192"/>
      <c r="HD4" s="192"/>
      <c r="HE4" s="192"/>
      <c r="HF4" s="192"/>
      <c r="HG4" s="192"/>
      <c r="HH4" s="192"/>
      <c r="HI4" s="192"/>
      <c r="HJ4" s="192"/>
      <c r="HK4" s="192"/>
      <c r="HL4" s="192"/>
      <c r="HM4" s="192"/>
      <c r="HN4" s="192"/>
      <c r="HO4" s="191"/>
      <c r="HP4" s="191"/>
      <c r="HQ4" s="191"/>
      <c r="HR4" s="192"/>
      <c r="HS4" s="192"/>
      <c r="HT4" s="192"/>
      <c r="HU4" s="192"/>
      <c r="HV4" s="192"/>
      <c r="HW4" s="192"/>
      <c r="HX4" s="192"/>
      <c r="HY4" s="192"/>
      <c r="HZ4" s="192"/>
      <c r="IA4" s="192"/>
      <c r="IB4" s="192"/>
      <c r="IC4" s="192"/>
      <c r="ID4" s="191"/>
      <c r="IE4" s="191"/>
      <c r="IF4" s="191"/>
      <c r="IG4" s="192"/>
      <c r="IH4" s="192"/>
      <c r="II4" s="192"/>
      <c r="IJ4" s="192"/>
      <c r="IK4" s="192"/>
      <c r="IL4" s="192"/>
      <c r="IM4" s="192"/>
      <c r="IN4" s="192"/>
      <c r="IO4" s="192"/>
      <c r="IP4" s="192"/>
      <c r="IQ4" s="192"/>
      <c r="IR4" s="192"/>
      <c r="IS4" s="191"/>
    </row>
    <row r="5" spans="1:253" ht="6.75" customHeight="1" x14ac:dyDescent="0.25">
      <c r="A5" s="42"/>
      <c r="B5" s="47"/>
      <c r="C5" s="47"/>
      <c r="D5" s="47"/>
      <c r="E5" s="47"/>
      <c r="F5" s="47"/>
      <c r="G5" s="47"/>
      <c r="H5" s="47"/>
      <c r="I5" s="47"/>
      <c r="J5" s="47"/>
    </row>
    <row r="6" spans="1:253" ht="12.75" customHeight="1" x14ac:dyDescent="0.25">
      <c r="A6" s="46" t="s">
        <v>20</v>
      </c>
      <c r="B6" s="117"/>
    </row>
    <row r="7" spans="1:253" x14ac:dyDescent="0.25">
      <c r="A7" s="115" t="str">
        <f>'Изходни данни'!A6</f>
        <v>големи населени места (повече от 3000 жители)</v>
      </c>
      <c r="B7" s="21" t="s">
        <v>129</v>
      </c>
      <c r="C7" s="48">
        <f>'Масов баланс'!E8</f>
        <v>25000</v>
      </c>
      <c r="D7" s="48">
        <f>'Масов баланс'!F8</f>
        <v>25000</v>
      </c>
      <c r="E7" s="48">
        <f>'Масов баланс'!G8</f>
        <v>25000</v>
      </c>
      <c r="F7" s="48">
        <f>'Масов баланс'!H8</f>
        <v>25000</v>
      </c>
      <c r="G7" s="48">
        <f>'Масов баланс'!I8</f>
        <v>25000</v>
      </c>
      <c r="H7" s="48">
        <f>'Масов баланс'!J8</f>
        <v>25000</v>
      </c>
      <c r="I7" s="48">
        <f>'Масов баланс'!K8</f>
        <v>25000</v>
      </c>
      <c r="J7" s="48">
        <f>'Масов баланс'!L8</f>
        <v>25000</v>
      </c>
      <c r="K7" s="48">
        <f>'Масов баланс'!M8</f>
        <v>25000</v>
      </c>
      <c r="L7" s="48">
        <f>'Масов баланс'!N8</f>
        <v>25000</v>
      </c>
      <c r="M7" s="48">
        <f>'Масов баланс'!O8</f>
        <v>25000</v>
      </c>
      <c r="N7" s="48">
        <f>'Масов баланс'!P8</f>
        <v>25000</v>
      </c>
    </row>
    <row r="8" spans="1:253" x14ac:dyDescent="0.25">
      <c r="A8" s="115" t="str">
        <f>'Изходни данни'!A6</f>
        <v>големи населени места (повече от 3000 жители)</v>
      </c>
      <c r="B8" s="21" t="s">
        <v>129</v>
      </c>
      <c r="C8" s="49">
        <f>'Масов баланс'!E7</f>
        <v>10000</v>
      </c>
      <c r="D8" s="49">
        <f>'Масов баланс'!F7</f>
        <v>10000</v>
      </c>
      <c r="E8" s="49">
        <f>'Масов баланс'!G7</f>
        <v>10000</v>
      </c>
      <c r="F8" s="49">
        <f>'Масов баланс'!H7</f>
        <v>10000</v>
      </c>
      <c r="G8" s="49">
        <f>'Масов баланс'!I7</f>
        <v>10000</v>
      </c>
      <c r="H8" s="49">
        <f>'Масов баланс'!J7</f>
        <v>10000</v>
      </c>
      <c r="I8" s="49">
        <f>'Масов баланс'!K7</f>
        <v>10000</v>
      </c>
      <c r="J8" s="49">
        <f>'Масов баланс'!L7</f>
        <v>10000</v>
      </c>
      <c r="K8" s="49">
        <f>'Масов баланс'!M7</f>
        <v>10000</v>
      </c>
      <c r="L8" s="49">
        <f>'Масов баланс'!N7</f>
        <v>10000</v>
      </c>
      <c r="M8" s="49">
        <f>'Масов баланс'!O7</f>
        <v>10000</v>
      </c>
      <c r="N8" s="49">
        <f>'Масов баланс'!P7</f>
        <v>10000</v>
      </c>
    </row>
    <row r="9" spans="1:253" s="43" customFormat="1" x14ac:dyDescent="0.25">
      <c r="A9" s="20" t="s">
        <v>15</v>
      </c>
      <c r="B9" s="21" t="s">
        <v>129</v>
      </c>
      <c r="C9" s="50">
        <f>SUM(C7:C8)</f>
        <v>35000</v>
      </c>
      <c r="D9" s="50">
        <f t="shared" ref="D9:N9" si="0">SUM(D7:D8)</f>
        <v>35000</v>
      </c>
      <c r="E9" s="50">
        <f t="shared" si="0"/>
        <v>35000</v>
      </c>
      <c r="F9" s="50">
        <f t="shared" si="0"/>
        <v>35000</v>
      </c>
      <c r="G9" s="50">
        <f t="shared" si="0"/>
        <v>35000</v>
      </c>
      <c r="H9" s="50">
        <f t="shared" si="0"/>
        <v>35000</v>
      </c>
      <c r="I9" s="50">
        <f t="shared" si="0"/>
        <v>35000</v>
      </c>
      <c r="J9" s="50">
        <f t="shared" si="0"/>
        <v>35000</v>
      </c>
      <c r="K9" s="50">
        <f t="shared" si="0"/>
        <v>35000</v>
      </c>
      <c r="L9" s="50">
        <f t="shared" si="0"/>
        <v>35000</v>
      </c>
      <c r="M9" s="50">
        <f t="shared" si="0"/>
        <v>35000</v>
      </c>
      <c r="N9" s="50">
        <f t="shared" si="0"/>
        <v>35000</v>
      </c>
    </row>
    <row r="10" spans="1:253" s="43" customFormat="1" x14ac:dyDescent="0.25">
      <c r="A10" s="20"/>
      <c r="B10" s="21"/>
      <c r="C10" s="50"/>
      <c r="D10" s="50"/>
      <c r="E10" s="50"/>
      <c r="F10" s="50"/>
      <c r="G10" s="50"/>
      <c r="H10" s="50"/>
      <c r="I10" s="50"/>
      <c r="J10" s="50"/>
      <c r="K10" s="50"/>
      <c r="L10" s="50"/>
      <c r="M10" s="50"/>
      <c r="N10" s="50"/>
    </row>
    <row r="11" spans="1:253" ht="6" customHeight="1" x14ac:dyDescent="0.25">
      <c r="A11" s="112"/>
      <c r="B11" s="458"/>
      <c r="C11" s="49"/>
      <c r="D11" s="49"/>
      <c r="E11" s="49"/>
      <c r="F11" s="49"/>
      <c r="G11" s="49"/>
      <c r="H11" s="49"/>
      <c r="I11" s="49"/>
      <c r="J11" s="49"/>
      <c r="K11" s="49"/>
      <c r="L11" s="49"/>
      <c r="M11" s="49"/>
      <c r="N11" s="49"/>
    </row>
    <row r="12" spans="1:253" s="16" customFormat="1" x14ac:dyDescent="0.25">
      <c r="A12" s="16" t="s">
        <v>13</v>
      </c>
      <c r="B12" s="21" t="s">
        <v>22</v>
      </c>
      <c r="C12" s="80">
        <f>'Масов баланс'!E230</f>
        <v>13800</v>
      </c>
      <c r="D12" s="80">
        <f>'Масов баланс'!F230</f>
        <v>13800</v>
      </c>
      <c r="E12" s="80">
        <f>'Масов баланс'!G230</f>
        <v>13800</v>
      </c>
      <c r="F12" s="80">
        <f>'Масов баланс'!H230</f>
        <v>13800</v>
      </c>
      <c r="G12" s="80">
        <f>'Масов баланс'!I230</f>
        <v>13800</v>
      </c>
      <c r="H12" s="80">
        <f>'Масов баланс'!J230</f>
        <v>13800</v>
      </c>
      <c r="I12" s="80">
        <f>'Масов баланс'!K230</f>
        <v>13800</v>
      </c>
      <c r="J12" s="80">
        <f>'Масов баланс'!L230</f>
        <v>13800</v>
      </c>
      <c r="K12" s="80">
        <f>'Масов баланс'!M230</f>
        <v>13800</v>
      </c>
      <c r="L12" s="80">
        <f>'Масов баланс'!N230</f>
        <v>13800</v>
      </c>
      <c r="M12" s="80">
        <f>'Масов баланс'!O230</f>
        <v>13800</v>
      </c>
      <c r="N12" s="80">
        <f>'Масов баланс'!P230</f>
        <v>13800</v>
      </c>
      <c r="O12" s="81"/>
    </row>
    <row r="13" spans="1:253" s="44" customFormat="1" hidden="1" x14ac:dyDescent="0.25">
      <c r="A13" s="116" t="s">
        <v>0</v>
      </c>
      <c r="B13" s="21" t="s">
        <v>22</v>
      </c>
      <c r="C13" s="53">
        <f>'Масов баланс'!E231</f>
        <v>2898</v>
      </c>
      <c r="D13" s="53">
        <f>'Масов баланс'!F231</f>
        <v>2898</v>
      </c>
      <c r="E13" s="53">
        <f>'Масов баланс'!G231</f>
        <v>2898</v>
      </c>
      <c r="F13" s="53">
        <f>'Масов баланс'!H231</f>
        <v>2898</v>
      </c>
      <c r="G13" s="53">
        <f>'Масов баланс'!I231</f>
        <v>2898</v>
      </c>
      <c r="H13" s="53">
        <f>'Масов баланс'!J231</f>
        <v>2898</v>
      </c>
      <c r="I13" s="53">
        <f>'Масов баланс'!K231</f>
        <v>2898</v>
      </c>
      <c r="J13" s="53">
        <f>'Масов баланс'!L231</f>
        <v>2898</v>
      </c>
      <c r="K13" s="53">
        <f>'Масов баланс'!M231</f>
        <v>2898</v>
      </c>
      <c r="L13" s="53">
        <f>'Масов баланс'!N231</f>
        <v>2898</v>
      </c>
      <c r="M13" s="53">
        <f>'Масов баланс'!O231</f>
        <v>2898</v>
      </c>
      <c r="N13" s="53">
        <f>'Масов баланс'!P231</f>
        <v>2898</v>
      </c>
      <c r="O13" s="42"/>
    </row>
    <row r="14" spans="1:253" s="44" customFormat="1" hidden="1" x14ac:dyDescent="0.25">
      <c r="A14" s="116" t="s">
        <v>1</v>
      </c>
      <c r="B14" s="21" t="s">
        <v>22</v>
      </c>
      <c r="C14" s="53">
        <f>'Масов баланс'!E232</f>
        <v>1584</v>
      </c>
      <c r="D14" s="53">
        <f>'Масов баланс'!F232</f>
        <v>1584</v>
      </c>
      <c r="E14" s="53">
        <f>'Масов баланс'!G232</f>
        <v>1584</v>
      </c>
      <c r="F14" s="53">
        <f>'Масов баланс'!H232</f>
        <v>1584</v>
      </c>
      <c r="G14" s="53">
        <f>'Масов баланс'!I232</f>
        <v>1584</v>
      </c>
      <c r="H14" s="53">
        <f>'Масов баланс'!J232</f>
        <v>1584</v>
      </c>
      <c r="I14" s="53">
        <f>'Масов баланс'!K232</f>
        <v>1584</v>
      </c>
      <c r="J14" s="53">
        <f>'Масов баланс'!L232</f>
        <v>1584</v>
      </c>
      <c r="K14" s="53">
        <f>'Масов баланс'!M232</f>
        <v>1584</v>
      </c>
      <c r="L14" s="53">
        <f>'Масов баланс'!N232</f>
        <v>1584</v>
      </c>
      <c r="M14" s="53">
        <f>'Масов баланс'!O232</f>
        <v>1584</v>
      </c>
      <c r="N14" s="53">
        <f>'Масов баланс'!P232</f>
        <v>1584</v>
      </c>
      <c r="O14" s="42"/>
    </row>
    <row r="15" spans="1:253" s="44" customFormat="1" hidden="1" x14ac:dyDescent="0.25">
      <c r="A15" s="116" t="s">
        <v>2</v>
      </c>
      <c r="B15" s="21" t="s">
        <v>22</v>
      </c>
      <c r="C15" s="53">
        <f>'Масов баланс'!E233</f>
        <v>1857.0000000000002</v>
      </c>
      <c r="D15" s="53">
        <f>'Масов баланс'!F233</f>
        <v>1857.0000000000002</v>
      </c>
      <c r="E15" s="53">
        <f>'Масов баланс'!G233</f>
        <v>1857.0000000000002</v>
      </c>
      <c r="F15" s="53">
        <f>'Масов баланс'!H233</f>
        <v>1857.0000000000002</v>
      </c>
      <c r="G15" s="53">
        <f>'Масов баланс'!I233</f>
        <v>1857.0000000000002</v>
      </c>
      <c r="H15" s="53">
        <f>'Масов баланс'!J233</f>
        <v>1857.0000000000002</v>
      </c>
      <c r="I15" s="53">
        <f>'Масов баланс'!K233</f>
        <v>1857.0000000000002</v>
      </c>
      <c r="J15" s="53">
        <f>'Масов баланс'!L233</f>
        <v>1857.0000000000002</v>
      </c>
      <c r="K15" s="53">
        <f>'Масов баланс'!M233</f>
        <v>1857.0000000000002</v>
      </c>
      <c r="L15" s="53">
        <f>'Масов баланс'!N233</f>
        <v>1857.0000000000002</v>
      </c>
      <c r="M15" s="53">
        <f>'Масов баланс'!O233</f>
        <v>1857.0000000000002</v>
      </c>
      <c r="N15" s="53">
        <f>'Масов баланс'!P233</f>
        <v>1857.0000000000002</v>
      </c>
      <c r="O15" s="42"/>
    </row>
    <row r="16" spans="1:253" s="44" customFormat="1" hidden="1" x14ac:dyDescent="0.25">
      <c r="A16" s="116" t="s">
        <v>3</v>
      </c>
      <c r="B16" s="21" t="s">
        <v>22</v>
      </c>
      <c r="C16" s="53">
        <f>'Масов баланс'!E234</f>
        <v>1932.0000000000002</v>
      </c>
      <c r="D16" s="53">
        <f>'Масов баланс'!F234</f>
        <v>1932.0000000000002</v>
      </c>
      <c r="E16" s="53">
        <f>'Масов баланс'!G234</f>
        <v>1932.0000000000002</v>
      </c>
      <c r="F16" s="53">
        <f>'Масов баланс'!H234</f>
        <v>1932.0000000000002</v>
      </c>
      <c r="G16" s="53">
        <f>'Масов баланс'!I234</f>
        <v>1932.0000000000002</v>
      </c>
      <c r="H16" s="53">
        <f>'Масов баланс'!J234</f>
        <v>1932.0000000000002</v>
      </c>
      <c r="I16" s="53">
        <f>'Масов баланс'!K234</f>
        <v>1932.0000000000002</v>
      </c>
      <c r="J16" s="53">
        <f>'Масов баланс'!L234</f>
        <v>1932.0000000000002</v>
      </c>
      <c r="K16" s="53">
        <f>'Масов баланс'!M234</f>
        <v>1932.0000000000002</v>
      </c>
      <c r="L16" s="53">
        <f>'Масов баланс'!N234</f>
        <v>1932.0000000000002</v>
      </c>
      <c r="M16" s="53">
        <f>'Масов баланс'!O234</f>
        <v>1932.0000000000002</v>
      </c>
      <c r="N16" s="53">
        <f>'Масов баланс'!P234</f>
        <v>1932.0000000000002</v>
      </c>
      <c r="O16" s="42"/>
    </row>
    <row r="17" spans="1:15" s="44" customFormat="1" hidden="1" x14ac:dyDescent="0.25">
      <c r="A17" s="116" t="s">
        <v>4</v>
      </c>
      <c r="B17" s="21" t="s">
        <v>22</v>
      </c>
      <c r="C17" s="53">
        <f>'Масов баланс'!E235</f>
        <v>552</v>
      </c>
      <c r="D17" s="53">
        <f>'Масов баланс'!F235</f>
        <v>552</v>
      </c>
      <c r="E17" s="53">
        <f>'Масов баланс'!G235</f>
        <v>552</v>
      </c>
      <c r="F17" s="53">
        <f>'Масов баланс'!H235</f>
        <v>552</v>
      </c>
      <c r="G17" s="53">
        <f>'Масов баланс'!I235</f>
        <v>552</v>
      </c>
      <c r="H17" s="53">
        <f>'Масов баланс'!J235</f>
        <v>552</v>
      </c>
      <c r="I17" s="53">
        <f>'Масов баланс'!K235</f>
        <v>552</v>
      </c>
      <c r="J17" s="53">
        <f>'Масов баланс'!L235</f>
        <v>552</v>
      </c>
      <c r="K17" s="53">
        <f>'Масов баланс'!M235</f>
        <v>552</v>
      </c>
      <c r="L17" s="53">
        <f>'Масов баланс'!N235</f>
        <v>552</v>
      </c>
      <c r="M17" s="53">
        <f>'Масов баланс'!O235</f>
        <v>552</v>
      </c>
      <c r="N17" s="53">
        <f>'Масов баланс'!P235</f>
        <v>552</v>
      </c>
      <c r="O17" s="42"/>
    </row>
    <row r="18" spans="1:15" s="44" customFormat="1" hidden="1" x14ac:dyDescent="0.25">
      <c r="A18" s="116" t="s">
        <v>5</v>
      </c>
      <c r="B18" s="21" t="s">
        <v>22</v>
      </c>
      <c r="C18" s="53">
        <f>'Масов баланс'!E236</f>
        <v>138</v>
      </c>
      <c r="D18" s="53">
        <f>'Масов баланс'!F236</f>
        <v>138</v>
      </c>
      <c r="E18" s="53">
        <f>'Масов баланс'!G236</f>
        <v>138</v>
      </c>
      <c r="F18" s="53">
        <f>'Масов баланс'!H236</f>
        <v>138</v>
      </c>
      <c r="G18" s="53">
        <f>'Масов баланс'!I236</f>
        <v>138</v>
      </c>
      <c r="H18" s="53">
        <f>'Масов баланс'!J236</f>
        <v>138</v>
      </c>
      <c r="I18" s="53">
        <f>'Масов баланс'!K236</f>
        <v>138</v>
      </c>
      <c r="J18" s="53">
        <f>'Масов баланс'!L236</f>
        <v>138</v>
      </c>
      <c r="K18" s="53">
        <f>'Масов баланс'!M236</f>
        <v>138</v>
      </c>
      <c r="L18" s="53">
        <f>'Масов баланс'!N236</f>
        <v>138</v>
      </c>
      <c r="M18" s="53">
        <f>'Масов баланс'!O236</f>
        <v>138</v>
      </c>
      <c r="N18" s="53">
        <f>'Масов баланс'!P236</f>
        <v>138</v>
      </c>
      <c r="O18" s="42"/>
    </row>
    <row r="19" spans="1:15" s="44" customFormat="1" hidden="1" x14ac:dyDescent="0.25">
      <c r="A19" s="116" t="s">
        <v>6</v>
      </c>
      <c r="B19" s="21" t="s">
        <v>22</v>
      </c>
      <c r="C19" s="53">
        <f>'Масов баланс'!E237</f>
        <v>138</v>
      </c>
      <c r="D19" s="53">
        <f>'Масов баланс'!F237</f>
        <v>138</v>
      </c>
      <c r="E19" s="53">
        <f>'Масов баланс'!G237</f>
        <v>138</v>
      </c>
      <c r="F19" s="53">
        <f>'Масов баланс'!H237</f>
        <v>138</v>
      </c>
      <c r="G19" s="53">
        <f>'Масов баланс'!I237</f>
        <v>138</v>
      </c>
      <c r="H19" s="53">
        <f>'Масов баланс'!J237</f>
        <v>138</v>
      </c>
      <c r="I19" s="53">
        <f>'Масов баланс'!K237</f>
        <v>138</v>
      </c>
      <c r="J19" s="53">
        <f>'Масов баланс'!L237</f>
        <v>138</v>
      </c>
      <c r="K19" s="53">
        <f>'Масов баланс'!M237</f>
        <v>138</v>
      </c>
      <c r="L19" s="53">
        <f>'Масов баланс'!N237</f>
        <v>138</v>
      </c>
      <c r="M19" s="53">
        <f>'Масов баланс'!O237</f>
        <v>138</v>
      </c>
      <c r="N19" s="53">
        <f>'Масов баланс'!P237</f>
        <v>138</v>
      </c>
      <c r="O19" s="42"/>
    </row>
    <row r="20" spans="1:15" s="44" customFormat="1" hidden="1" x14ac:dyDescent="0.25">
      <c r="A20" s="116" t="s">
        <v>12</v>
      </c>
      <c r="B20" s="21" t="s">
        <v>22</v>
      </c>
      <c r="C20" s="53">
        <f>'Масов баланс'!E238</f>
        <v>1044</v>
      </c>
      <c r="D20" s="53">
        <f>'Масов баланс'!F238</f>
        <v>1044</v>
      </c>
      <c r="E20" s="53">
        <f>'Масов баланс'!G238</f>
        <v>1044</v>
      </c>
      <c r="F20" s="53">
        <f>'Масов баланс'!H238</f>
        <v>1044</v>
      </c>
      <c r="G20" s="53">
        <f>'Масов баланс'!I238</f>
        <v>1044</v>
      </c>
      <c r="H20" s="53">
        <f>'Масов баланс'!J238</f>
        <v>1044</v>
      </c>
      <c r="I20" s="53">
        <f>'Масов баланс'!K238</f>
        <v>1044</v>
      </c>
      <c r="J20" s="53">
        <f>'Масов баланс'!L238</f>
        <v>1044</v>
      </c>
      <c r="K20" s="53">
        <f>'Масов баланс'!M238</f>
        <v>1044</v>
      </c>
      <c r="L20" s="53">
        <f>'Масов баланс'!N238</f>
        <v>1044</v>
      </c>
      <c r="M20" s="53">
        <f>'Масов баланс'!O238</f>
        <v>1044</v>
      </c>
      <c r="N20" s="53">
        <f>'Масов баланс'!P238</f>
        <v>1044</v>
      </c>
      <c r="O20" s="42"/>
    </row>
    <row r="21" spans="1:15" s="44" customFormat="1" hidden="1" x14ac:dyDescent="0.25">
      <c r="A21" s="116" t="s">
        <v>11</v>
      </c>
      <c r="B21" s="21" t="s">
        <v>22</v>
      </c>
      <c r="C21" s="53">
        <f>'Масов баланс'!E239</f>
        <v>345</v>
      </c>
      <c r="D21" s="53">
        <f>'Масов баланс'!F239</f>
        <v>345</v>
      </c>
      <c r="E21" s="53">
        <f>'Масов баланс'!G239</f>
        <v>345</v>
      </c>
      <c r="F21" s="53">
        <f>'Масов баланс'!H239</f>
        <v>345</v>
      </c>
      <c r="G21" s="53">
        <f>'Масов баланс'!I239</f>
        <v>345</v>
      </c>
      <c r="H21" s="53">
        <f>'Масов баланс'!J239</f>
        <v>345</v>
      </c>
      <c r="I21" s="53">
        <f>'Масов баланс'!K239</f>
        <v>345</v>
      </c>
      <c r="J21" s="53">
        <f>'Масов баланс'!L239</f>
        <v>345</v>
      </c>
      <c r="K21" s="53">
        <f>'Масов баланс'!M239</f>
        <v>345</v>
      </c>
      <c r="L21" s="53">
        <f>'Масов баланс'!N239</f>
        <v>345</v>
      </c>
      <c r="M21" s="53">
        <f>'Масов баланс'!O239</f>
        <v>345</v>
      </c>
      <c r="N21" s="53">
        <f>'Масов баланс'!P239</f>
        <v>345</v>
      </c>
      <c r="O21" s="42"/>
    </row>
    <row r="22" spans="1:15" s="44" customFormat="1" hidden="1" x14ac:dyDescent="0.25">
      <c r="A22" s="116" t="s">
        <v>7</v>
      </c>
      <c r="B22" s="21" t="s">
        <v>22</v>
      </c>
      <c r="C22" s="53">
        <f>'Масов баланс'!E240</f>
        <v>1104</v>
      </c>
      <c r="D22" s="53">
        <f>'Масов баланс'!F240</f>
        <v>1104</v>
      </c>
      <c r="E22" s="53">
        <f>'Масов баланс'!G240</f>
        <v>1104</v>
      </c>
      <c r="F22" s="53">
        <f>'Масов баланс'!H240</f>
        <v>1104</v>
      </c>
      <c r="G22" s="53">
        <f>'Масов баланс'!I240</f>
        <v>1104</v>
      </c>
      <c r="H22" s="53">
        <f>'Масов баланс'!J240</f>
        <v>1104</v>
      </c>
      <c r="I22" s="53">
        <f>'Масов баланс'!K240</f>
        <v>1104</v>
      </c>
      <c r="J22" s="53">
        <f>'Масов баланс'!L240</f>
        <v>1104</v>
      </c>
      <c r="K22" s="53">
        <f>'Масов баланс'!M240</f>
        <v>1104</v>
      </c>
      <c r="L22" s="53">
        <f>'Масов баланс'!N240</f>
        <v>1104</v>
      </c>
      <c r="M22" s="53">
        <f>'Масов баланс'!O240</f>
        <v>1104</v>
      </c>
      <c r="N22" s="53">
        <f>'Масов баланс'!P240</f>
        <v>1104</v>
      </c>
      <c r="O22" s="42"/>
    </row>
    <row r="23" spans="1:15" s="44" customFormat="1" hidden="1" x14ac:dyDescent="0.25">
      <c r="A23" s="116" t="s">
        <v>8</v>
      </c>
      <c r="B23" s="21" t="s">
        <v>22</v>
      </c>
      <c r="C23" s="53">
        <f>'Масов баланс'!E241</f>
        <v>345</v>
      </c>
      <c r="D23" s="53">
        <f>'Масов баланс'!F241</f>
        <v>345</v>
      </c>
      <c r="E23" s="53">
        <f>'Масов баланс'!G241</f>
        <v>345</v>
      </c>
      <c r="F23" s="53">
        <f>'Масов баланс'!H241</f>
        <v>345</v>
      </c>
      <c r="G23" s="53">
        <f>'Масов баланс'!I241</f>
        <v>345</v>
      </c>
      <c r="H23" s="53">
        <f>'Масов баланс'!J241</f>
        <v>345</v>
      </c>
      <c r="I23" s="53">
        <f>'Масов баланс'!K241</f>
        <v>345</v>
      </c>
      <c r="J23" s="53">
        <f>'Масов баланс'!L241</f>
        <v>345</v>
      </c>
      <c r="K23" s="53">
        <f>'Масов баланс'!M241</f>
        <v>345</v>
      </c>
      <c r="L23" s="53">
        <f>'Масов баланс'!N241</f>
        <v>345</v>
      </c>
      <c r="M23" s="53">
        <f>'Масов баланс'!O241</f>
        <v>345</v>
      </c>
      <c r="N23" s="53">
        <f>'Масов баланс'!P241</f>
        <v>345</v>
      </c>
      <c r="O23" s="42"/>
    </row>
    <row r="24" spans="1:15" s="44" customFormat="1" hidden="1" x14ac:dyDescent="0.25">
      <c r="A24" s="116" t="s">
        <v>9</v>
      </c>
      <c r="B24" s="21" t="s">
        <v>22</v>
      </c>
      <c r="C24" s="53">
        <f>'Масов баланс'!E242</f>
        <v>1794</v>
      </c>
      <c r="D24" s="53">
        <f>'Масов баланс'!F242</f>
        <v>1794</v>
      </c>
      <c r="E24" s="53">
        <f>'Масов баланс'!G242</f>
        <v>1794</v>
      </c>
      <c r="F24" s="53">
        <f>'Масов баланс'!H242</f>
        <v>1794</v>
      </c>
      <c r="G24" s="53">
        <f>'Масов баланс'!I242</f>
        <v>1794</v>
      </c>
      <c r="H24" s="53">
        <f>'Масов баланс'!J242</f>
        <v>1794</v>
      </c>
      <c r="I24" s="53">
        <f>'Масов баланс'!K242</f>
        <v>1794</v>
      </c>
      <c r="J24" s="53">
        <f>'Масов баланс'!L242</f>
        <v>1794</v>
      </c>
      <c r="K24" s="53">
        <f>'Масов баланс'!M242</f>
        <v>1794</v>
      </c>
      <c r="L24" s="53">
        <f>'Масов баланс'!N242</f>
        <v>1794</v>
      </c>
      <c r="M24" s="53">
        <f>'Масов баланс'!O242</f>
        <v>1794</v>
      </c>
      <c r="N24" s="53">
        <f>'Масов баланс'!P242</f>
        <v>1794</v>
      </c>
      <c r="O24" s="42"/>
    </row>
    <row r="25" spans="1:15" s="44" customFormat="1" hidden="1" x14ac:dyDescent="0.25">
      <c r="A25" s="116" t="s">
        <v>10</v>
      </c>
      <c r="B25" s="21" t="s">
        <v>22</v>
      </c>
      <c r="C25" s="53">
        <f>'Масов баланс'!E243</f>
        <v>69</v>
      </c>
      <c r="D25" s="53">
        <f>'Масов баланс'!F243</f>
        <v>69</v>
      </c>
      <c r="E25" s="53">
        <f>'Масов баланс'!G243</f>
        <v>69</v>
      </c>
      <c r="F25" s="53">
        <f>'Масов баланс'!H243</f>
        <v>69</v>
      </c>
      <c r="G25" s="53">
        <f>'Масов баланс'!I243</f>
        <v>69</v>
      </c>
      <c r="H25" s="53">
        <f>'Масов баланс'!J243</f>
        <v>69</v>
      </c>
      <c r="I25" s="53">
        <f>'Масов баланс'!K243</f>
        <v>69</v>
      </c>
      <c r="J25" s="53">
        <f>'Масов баланс'!L243</f>
        <v>69</v>
      </c>
      <c r="K25" s="53">
        <f>'Масов баланс'!M243</f>
        <v>69</v>
      </c>
      <c r="L25" s="53">
        <f>'Масов баланс'!N243</f>
        <v>69</v>
      </c>
      <c r="M25" s="53">
        <f>'Масов баланс'!O243</f>
        <v>69</v>
      </c>
      <c r="N25" s="53">
        <f>'Масов баланс'!P243</f>
        <v>69</v>
      </c>
      <c r="O25" s="42"/>
    </row>
    <row r="26" spans="1:15" ht="15" hidden="1" customHeight="1" x14ac:dyDescent="0.25">
      <c r="A26" s="16"/>
      <c r="B26" s="466"/>
      <c r="C26" s="51"/>
      <c r="D26" s="51"/>
      <c r="E26" s="51"/>
      <c r="F26" s="51"/>
      <c r="G26" s="51"/>
      <c r="H26" s="51"/>
      <c r="I26" s="51"/>
      <c r="J26" s="51"/>
      <c r="K26" s="51"/>
      <c r="L26" s="51"/>
      <c r="M26" s="51"/>
      <c r="N26" s="51"/>
    </row>
    <row r="27" spans="1:15" hidden="1" x14ac:dyDescent="0.25">
      <c r="A27" s="16" t="s">
        <v>86</v>
      </c>
      <c r="B27" s="466"/>
      <c r="C27" s="49"/>
      <c r="D27" s="49"/>
      <c r="E27" s="49"/>
      <c r="F27" s="49"/>
      <c r="G27" s="49"/>
      <c r="H27" s="49"/>
      <c r="I27" s="49"/>
      <c r="J27" s="49"/>
      <c r="K27" s="49"/>
      <c r="L27" s="49"/>
      <c r="M27" s="49"/>
      <c r="N27" s="49"/>
      <c r="O27" s="42"/>
    </row>
    <row r="28" spans="1:15" x14ac:dyDescent="0.25">
      <c r="A28" s="115" t="s">
        <v>87</v>
      </c>
      <c r="B28" s="21" t="s">
        <v>22</v>
      </c>
      <c r="C28" s="49">
        <f>'Масов баланс'!E73+'Масов баланс'!E181</f>
        <v>11750</v>
      </c>
      <c r="D28" s="49">
        <f>'Масов баланс'!F73+'Масов баланс'!F181</f>
        <v>11750</v>
      </c>
      <c r="E28" s="49">
        <f>'Масов баланс'!G73+'Масов баланс'!G181</f>
        <v>11750</v>
      </c>
      <c r="F28" s="49">
        <f>'Масов баланс'!H73+'Масов баланс'!H181</f>
        <v>11750</v>
      </c>
      <c r="G28" s="49">
        <f>'Масов баланс'!I73+'Масов баланс'!I181</f>
        <v>11750</v>
      </c>
      <c r="H28" s="49">
        <f>'Масов баланс'!J73+'Масов баланс'!J181</f>
        <v>11750</v>
      </c>
      <c r="I28" s="49">
        <f>'Масов баланс'!K73+'Масов баланс'!K181</f>
        <v>11750</v>
      </c>
      <c r="J28" s="49">
        <f>'Масов баланс'!L73+'Масов баланс'!L181</f>
        <v>11750</v>
      </c>
      <c r="K28" s="49">
        <f>'Масов баланс'!M73+'Масов баланс'!M181</f>
        <v>11750</v>
      </c>
      <c r="L28" s="49">
        <f>'Масов баланс'!N73+'Масов баланс'!N181</f>
        <v>11750</v>
      </c>
      <c r="M28" s="49">
        <f>'Масов баланс'!O73+'Масов баланс'!O181</f>
        <v>11750</v>
      </c>
      <c r="N28" s="49">
        <f>'Масов баланс'!P73+'Масов баланс'!P181</f>
        <v>11750</v>
      </c>
      <c r="O28" s="42"/>
    </row>
    <row r="29" spans="1:15" x14ac:dyDescent="0.25">
      <c r="A29" s="115" t="s">
        <v>249</v>
      </c>
      <c r="B29" s="21" t="s">
        <v>22</v>
      </c>
      <c r="C29" s="49">
        <f>'Масов баланс'!E151+'Масов баланс'!E43</f>
        <v>2050</v>
      </c>
      <c r="D29" s="49">
        <f>'Масов баланс'!F151+'Масов баланс'!F43</f>
        <v>2050</v>
      </c>
      <c r="E29" s="49">
        <f>'Масов баланс'!G151+'Масов баланс'!G43</f>
        <v>2050</v>
      </c>
      <c r="F29" s="49">
        <f>'Масов баланс'!H151+'Масов баланс'!H43</f>
        <v>2050</v>
      </c>
      <c r="G29" s="49">
        <f>'Масов баланс'!I151+'Масов баланс'!I43</f>
        <v>2050</v>
      </c>
      <c r="H29" s="49">
        <f>'Масов баланс'!J151+'Масов баланс'!J43</f>
        <v>2050</v>
      </c>
      <c r="I29" s="49">
        <f>'Масов баланс'!K151+'Масов баланс'!K43</f>
        <v>2050</v>
      </c>
      <c r="J29" s="49">
        <f>'Масов баланс'!L151+'Масов баланс'!L43</f>
        <v>2050</v>
      </c>
      <c r="K29" s="49">
        <f>'Масов баланс'!M151+'Масов баланс'!M43</f>
        <v>2050</v>
      </c>
      <c r="L29" s="49">
        <f>'Масов баланс'!N151+'Масов баланс'!N43</f>
        <v>2050</v>
      </c>
      <c r="M29" s="49">
        <f>'Масов баланс'!O151+'Масов баланс'!O43</f>
        <v>2050</v>
      </c>
      <c r="N29" s="49">
        <f>'Масов баланс'!P151+'Масов баланс'!P43</f>
        <v>2050</v>
      </c>
      <c r="O29" s="42"/>
    </row>
    <row r="30" spans="1:15" x14ac:dyDescent="0.25">
      <c r="A30" s="3"/>
      <c r="B30" s="21"/>
      <c r="C30" s="49"/>
      <c r="D30" s="49"/>
      <c r="E30" s="49"/>
      <c r="F30" s="49"/>
      <c r="G30" s="49"/>
      <c r="H30" s="49"/>
      <c r="I30" s="49"/>
      <c r="J30" s="49"/>
      <c r="K30" s="49"/>
      <c r="L30" s="49"/>
      <c r="M30" s="49"/>
      <c r="N30" s="49"/>
      <c r="O30" s="42"/>
    </row>
    <row r="31" spans="1:15" x14ac:dyDescent="0.25">
      <c r="A31" s="22" t="s">
        <v>117</v>
      </c>
      <c r="B31" s="303"/>
      <c r="C31" s="49"/>
      <c r="D31" s="49"/>
      <c r="E31" s="49"/>
      <c r="F31" s="49"/>
      <c r="G31" s="49"/>
      <c r="H31" s="49"/>
      <c r="I31" s="49"/>
      <c r="J31" s="49"/>
      <c r="K31" s="49"/>
      <c r="L31" s="49"/>
      <c r="M31" s="49"/>
      <c r="N31" s="49"/>
      <c r="O31" s="42"/>
    </row>
    <row r="32" spans="1:15" ht="30" x14ac:dyDescent="0.25">
      <c r="A32" s="113" t="s">
        <v>16</v>
      </c>
      <c r="B32" s="21" t="s">
        <v>19</v>
      </c>
      <c r="C32" s="52">
        <f t="shared" ref="C32:N32" si="1">C33/C9</f>
        <v>1</v>
      </c>
      <c r="D32" s="52">
        <f t="shared" si="1"/>
        <v>1</v>
      </c>
      <c r="E32" s="52">
        <f t="shared" si="1"/>
        <v>1</v>
      </c>
      <c r="F32" s="52">
        <f t="shared" si="1"/>
        <v>1</v>
      </c>
      <c r="G32" s="52">
        <f t="shared" si="1"/>
        <v>1</v>
      </c>
      <c r="H32" s="52">
        <f t="shared" si="1"/>
        <v>1</v>
      </c>
      <c r="I32" s="52">
        <f t="shared" si="1"/>
        <v>1</v>
      </c>
      <c r="J32" s="52">
        <f t="shared" si="1"/>
        <v>1</v>
      </c>
      <c r="K32" s="52">
        <f t="shared" si="1"/>
        <v>1</v>
      </c>
      <c r="L32" s="52">
        <f t="shared" si="1"/>
        <v>1</v>
      </c>
      <c r="M32" s="52">
        <f t="shared" si="1"/>
        <v>1</v>
      </c>
      <c r="N32" s="52">
        <f t="shared" si="1"/>
        <v>1</v>
      </c>
      <c r="O32" s="42"/>
    </row>
    <row r="33" spans="1:253" x14ac:dyDescent="0.25">
      <c r="A33" s="113"/>
      <c r="B33" s="21" t="s">
        <v>129</v>
      </c>
      <c r="C33" s="49">
        <f>'Масов баланс'!E249+'Масов баланс'!E307</f>
        <v>35000</v>
      </c>
      <c r="D33" s="49">
        <f>'Масов баланс'!F249+'Масов баланс'!F307</f>
        <v>35000</v>
      </c>
      <c r="E33" s="49">
        <f>'Масов баланс'!G249+'Масов баланс'!G307</f>
        <v>35000</v>
      </c>
      <c r="F33" s="49">
        <f>'Масов баланс'!H249+'Масов баланс'!H307</f>
        <v>35000</v>
      </c>
      <c r="G33" s="49">
        <f>'Масов баланс'!I249+'Масов баланс'!I307</f>
        <v>35000</v>
      </c>
      <c r="H33" s="49">
        <f>'Масов баланс'!J249+'Масов баланс'!J307</f>
        <v>35000</v>
      </c>
      <c r="I33" s="49">
        <f>'Масов баланс'!K249+'Масов баланс'!K307</f>
        <v>35000</v>
      </c>
      <c r="J33" s="49">
        <f>'Масов баланс'!L249+'Масов баланс'!L307</f>
        <v>35000</v>
      </c>
      <c r="K33" s="49">
        <f>'Масов баланс'!M249+'Масов баланс'!M307</f>
        <v>35000</v>
      </c>
      <c r="L33" s="49">
        <f>'Масов баланс'!N249+'Масов баланс'!N307</f>
        <v>35000</v>
      </c>
      <c r="M33" s="49">
        <f>'Масов баланс'!O249+'Масов баланс'!O307</f>
        <v>35000</v>
      </c>
      <c r="N33" s="49">
        <f>'Масов баланс'!P249+'Масов баланс'!P307</f>
        <v>35000</v>
      </c>
      <c r="O33" s="42"/>
    </row>
    <row r="34" spans="1:253" ht="9.75" customHeight="1" x14ac:dyDescent="0.25">
      <c r="A34" s="113"/>
      <c r="B34" s="21"/>
      <c r="C34" s="49"/>
      <c r="D34" s="49"/>
      <c r="E34" s="49"/>
      <c r="F34" s="49"/>
      <c r="G34" s="49"/>
      <c r="H34" s="49"/>
      <c r="I34" s="49"/>
      <c r="J34" s="49"/>
      <c r="K34" s="49"/>
      <c r="L34" s="49"/>
      <c r="M34" s="49"/>
      <c r="N34" s="49"/>
      <c r="O34" s="42"/>
    </row>
    <row r="35" spans="1:253" x14ac:dyDescent="0.25">
      <c r="A35" s="113" t="s">
        <v>170</v>
      </c>
      <c r="B35" s="21" t="s">
        <v>19</v>
      </c>
      <c r="C35" s="52">
        <f t="shared" ref="C35:N35" si="2">C36/C9</f>
        <v>0</v>
      </c>
      <c r="D35" s="52">
        <f t="shared" si="2"/>
        <v>0.65714285714285714</v>
      </c>
      <c r="E35" s="52">
        <f t="shared" si="2"/>
        <v>0.65714285714285714</v>
      </c>
      <c r="F35" s="52">
        <f t="shared" si="2"/>
        <v>0.65714285714285714</v>
      </c>
      <c r="G35" s="52">
        <f t="shared" si="2"/>
        <v>0.65714285714285714</v>
      </c>
      <c r="H35" s="52">
        <f t="shared" si="2"/>
        <v>0.65714285714285714</v>
      </c>
      <c r="I35" s="52">
        <f t="shared" si="2"/>
        <v>0.65714285714285714</v>
      </c>
      <c r="J35" s="52">
        <f t="shared" si="2"/>
        <v>0.65714285714285714</v>
      </c>
      <c r="K35" s="52">
        <f t="shared" si="2"/>
        <v>0.65714285714285714</v>
      </c>
      <c r="L35" s="52">
        <f t="shared" si="2"/>
        <v>0.65714285714285714</v>
      </c>
      <c r="M35" s="52">
        <f t="shared" si="2"/>
        <v>0.65714285714285714</v>
      </c>
      <c r="N35" s="52">
        <f t="shared" si="2"/>
        <v>0.65714285714285714</v>
      </c>
      <c r="O35" s="42"/>
    </row>
    <row r="36" spans="1:253" x14ac:dyDescent="0.25">
      <c r="A36" s="113"/>
      <c r="B36" s="21" t="s">
        <v>129</v>
      </c>
      <c r="C36" s="49">
        <f>'Масов баланс'!E251+'Масов баланс'!E309</f>
        <v>0</v>
      </c>
      <c r="D36" s="49">
        <f>'Масов баланс'!F251+'Масов баланс'!F309</f>
        <v>23000</v>
      </c>
      <c r="E36" s="49">
        <f>'Масов баланс'!G251+'Масов баланс'!G309</f>
        <v>23000</v>
      </c>
      <c r="F36" s="49">
        <f>'Масов баланс'!H251+'Масов баланс'!H309</f>
        <v>23000</v>
      </c>
      <c r="G36" s="49">
        <f>'Масов баланс'!I251+'Масов баланс'!I309</f>
        <v>23000</v>
      </c>
      <c r="H36" s="49">
        <f>'Масов баланс'!J251+'Масов баланс'!J309</f>
        <v>23000</v>
      </c>
      <c r="I36" s="49">
        <f>'Масов баланс'!K251+'Масов баланс'!K309</f>
        <v>23000</v>
      </c>
      <c r="J36" s="49">
        <f>'Масов баланс'!L251+'Масов баланс'!L309</f>
        <v>23000</v>
      </c>
      <c r="K36" s="49">
        <f>'Масов баланс'!M251+'Масов баланс'!M309</f>
        <v>23000</v>
      </c>
      <c r="L36" s="49">
        <f>'Масов баланс'!N251+'Масов баланс'!N309</f>
        <v>23000</v>
      </c>
      <c r="M36" s="49">
        <f>'Масов баланс'!O251+'Масов баланс'!O309</f>
        <v>23000</v>
      </c>
      <c r="N36" s="49">
        <f>'Масов баланс'!P251+'Масов баланс'!P309</f>
        <v>23000</v>
      </c>
      <c r="O36" s="42"/>
    </row>
    <row r="37" spans="1:253" ht="7.5" customHeight="1" x14ac:dyDescent="0.25">
      <c r="A37" s="113"/>
      <c r="B37" s="21"/>
      <c r="C37" s="49"/>
      <c r="D37" s="49"/>
      <c r="E37" s="49"/>
      <c r="F37" s="49"/>
      <c r="G37" s="49"/>
      <c r="H37" s="49"/>
      <c r="I37" s="49"/>
      <c r="J37" s="49"/>
      <c r="K37" s="49"/>
      <c r="L37" s="49"/>
      <c r="M37" s="49"/>
      <c r="N37" s="49"/>
      <c r="O37" s="42"/>
    </row>
    <row r="38" spans="1:253" x14ac:dyDescent="0.25">
      <c r="A38" s="113" t="s">
        <v>18</v>
      </c>
      <c r="B38" s="21" t="s">
        <v>19</v>
      </c>
      <c r="C38" s="52">
        <f t="shared" ref="C38:N38" si="3">C39/C9</f>
        <v>0</v>
      </c>
      <c r="D38" s="52">
        <f t="shared" si="3"/>
        <v>0.2857142857142857</v>
      </c>
      <c r="E38" s="52">
        <f t="shared" si="3"/>
        <v>0.2857142857142857</v>
      </c>
      <c r="F38" s="52">
        <f t="shared" si="3"/>
        <v>0.2857142857142857</v>
      </c>
      <c r="G38" s="52">
        <f t="shared" si="3"/>
        <v>0.2857142857142857</v>
      </c>
      <c r="H38" s="52">
        <f t="shared" si="3"/>
        <v>0.2857142857142857</v>
      </c>
      <c r="I38" s="52">
        <f t="shared" si="3"/>
        <v>0.2857142857142857</v>
      </c>
      <c r="J38" s="52">
        <f t="shared" si="3"/>
        <v>0.2857142857142857</v>
      </c>
      <c r="K38" s="52">
        <f t="shared" si="3"/>
        <v>0.2857142857142857</v>
      </c>
      <c r="L38" s="52">
        <f t="shared" si="3"/>
        <v>0.2857142857142857</v>
      </c>
      <c r="M38" s="52">
        <f t="shared" si="3"/>
        <v>0.2857142857142857</v>
      </c>
      <c r="N38" s="52">
        <f t="shared" si="3"/>
        <v>0.2857142857142857</v>
      </c>
      <c r="O38" s="42"/>
    </row>
    <row r="39" spans="1:253" x14ac:dyDescent="0.25">
      <c r="A39" s="3"/>
      <c r="B39" s="21" t="s">
        <v>129</v>
      </c>
      <c r="C39" s="49">
        <f>'Масов баланс'!E253+'Масов баланс'!E311</f>
        <v>0</v>
      </c>
      <c r="D39" s="49">
        <f>'Масов баланс'!F253+'Масов баланс'!F311</f>
        <v>10000</v>
      </c>
      <c r="E39" s="49">
        <f>'Масов баланс'!G253+'Масов баланс'!G311</f>
        <v>10000</v>
      </c>
      <c r="F39" s="49">
        <f>'Масов баланс'!H253+'Масов баланс'!H311</f>
        <v>10000</v>
      </c>
      <c r="G39" s="49">
        <f>'Масов баланс'!I253+'Масов баланс'!I311</f>
        <v>10000</v>
      </c>
      <c r="H39" s="49">
        <f>'Масов баланс'!J253+'Масов баланс'!J311</f>
        <v>10000</v>
      </c>
      <c r="I39" s="49">
        <f>'Масов баланс'!K253+'Масов баланс'!K311</f>
        <v>10000</v>
      </c>
      <c r="J39" s="49">
        <f>'Масов баланс'!L253+'Масов баланс'!L311</f>
        <v>10000</v>
      </c>
      <c r="K39" s="49">
        <f>'Масов баланс'!M253+'Масов баланс'!M311</f>
        <v>10000</v>
      </c>
      <c r="L39" s="49">
        <f>'Масов баланс'!N253+'Масов баланс'!N311</f>
        <v>10000</v>
      </c>
      <c r="M39" s="49">
        <f>'Масов баланс'!O253+'Масов баланс'!O311</f>
        <v>10000</v>
      </c>
      <c r="N39" s="49">
        <f>'Масов баланс'!P253+'Масов баланс'!P311</f>
        <v>10000</v>
      </c>
      <c r="O39" s="42"/>
    </row>
    <row r="40" spans="1:253" s="193" customFormat="1" ht="24.75" customHeight="1" x14ac:dyDescent="0.35">
      <c r="A40" s="204" t="s">
        <v>156</v>
      </c>
      <c r="B40" s="467"/>
      <c r="C40" s="205"/>
      <c r="D40" s="205"/>
      <c r="E40" s="205"/>
      <c r="F40" s="205"/>
      <c r="G40" s="205"/>
      <c r="H40" s="205"/>
      <c r="I40" s="205"/>
      <c r="J40" s="205"/>
      <c r="K40" s="205"/>
      <c r="L40" s="205"/>
      <c r="M40" s="205"/>
      <c r="N40" s="205"/>
      <c r="O40" s="191"/>
      <c r="P40" s="192"/>
      <c r="Q40" s="192"/>
      <c r="R40" s="192"/>
      <c r="S40" s="192"/>
      <c r="T40" s="192"/>
      <c r="U40" s="192"/>
      <c r="V40" s="192"/>
      <c r="W40" s="192"/>
      <c r="X40" s="192"/>
      <c r="Y40" s="192"/>
      <c r="Z40" s="192"/>
      <c r="AA40" s="192"/>
      <c r="AB40" s="191"/>
      <c r="AC40" s="191"/>
      <c r="AD40" s="191"/>
      <c r="AE40" s="192"/>
      <c r="AF40" s="192"/>
      <c r="AG40" s="192"/>
      <c r="AH40" s="192"/>
      <c r="AI40" s="192"/>
      <c r="AJ40" s="192"/>
      <c r="AK40" s="192"/>
      <c r="AL40" s="192"/>
      <c r="AM40" s="192"/>
      <c r="AN40" s="192"/>
      <c r="AO40" s="192"/>
      <c r="AP40" s="192"/>
      <c r="AQ40" s="191"/>
      <c r="AR40" s="191"/>
      <c r="AS40" s="191"/>
      <c r="AT40" s="192"/>
      <c r="AU40" s="192"/>
      <c r="AV40" s="192"/>
      <c r="AW40" s="192"/>
      <c r="AX40" s="192"/>
      <c r="AY40" s="192"/>
      <c r="AZ40" s="192"/>
      <c r="BA40" s="192"/>
      <c r="BB40" s="192"/>
      <c r="BC40" s="192"/>
      <c r="BD40" s="192"/>
      <c r="BE40" s="192"/>
      <c r="BF40" s="191"/>
      <c r="BG40" s="191"/>
      <c r="BH40" s="191"/>
      <c r="BI40" s="192"/>
      <c r="BJ40" s="192"/>
      <c r="BK40" s="192"/>
      <c r="BL40" s="192"/>
      <c r="BM40" s="192"/>
      <c r="BN40" s="192"/>
      <c r="BO40" s="192"/>
      <c r="BP40" s="192"/>
      <c r="BQ40" s="192"/>
      <c r="BR40" s="192"/>
      <c r="BS40" s="192"/>
      <c r="BT40" s="192"/>
      <c r="BU40" s="191"/>
      <c r="BV40" s="191"/>
      <c r="BW40" s="191"/>
      <c r="BX40" s="192"/>
      <c r="BY40" s="192"/>
      <c r="BZ40" s="192"/>
      <c r="CA40" s="192"/>
      <c r="CB40" s="192"/>
      <c r="CC40" s="192"/>
      <c r="CD40" s="192"/>
      <c r="CE40" s="192"/>
      <c r="CF40" s="192"/>
      <c r="CG40" s="192"/>
      <c r="CH40" s="192"/>
      <c r="CI40" s="192"/>
      <c r="CJ40" s="191"/>
      <c r="CK40" s="191"/>
      <c r="CL40" s="191"/>
      <c r="CM40" s="192"/>
      <c r="CN40" s="192"/>
      <c r="CO40" s="192"/>
      <c r="CP40" s="192"/>
      <c r="CQ40" s="192"/>
      <c r="CR40" s="192"/>
      <c r="CS40" s="192"/>
      <c r="CT40" s="192"/>
      <c r="CU40" s="192"/>
      <c r="CV40" s="192"/>
      <c r="CW40" s="192"/>
      <c r="CX40" s="192"/>
      <c r="CY40" s="191"/>
      <c r="CZ40" s="191"/>
      <c r="DA40" s="191"/>
      <c r="DB40" s="192"/>
      <c r="DC40" s="192"/>
      <c r="DD40" s="192"/>
      <c r="DE40" s="192"/>
      <c r="DF40" s="192"/>
      <c r="DG40" s="192"/>
      <c r="DH40" s="192"/>
      <c r="DI40" s="192"/>
      <c r="DJ40" s="192"/>
      <c r="DK40" s="192"/>
      <c r="DL40" s="192"/>
      <c r="DM40" s="192"/>
      <c r="DN40" s="191"/>
      <c r="DO40" s="191"/>
      <c r="DP40" s="191"/>
      <c r="DQ40" s="192"/>
      <c r="DR40" s="192"/>
      <c r="DS40" s="192"/>
      <c r="DT40" s="192"/>
      <c r="DU40" s="192"/>
      <c r="DV40" s="192"/>
      <c r="DW40" s="192"/>
      <c r="DX40" s="192"/>
      <c r="DY40" s="192"/>
      <c r="DZ40" s="192"/>
      <c r="EA40" s="192"/>
      <c r="EB40" s="192"/>
      <c r="EC40" s="191"/>
      <c r="ED40" s="191"/>
      <c r="EE40" s="191"/>
      <c r="EF40" s="192"/>
      <c r="EG40" s="192"/>
      <c r="EH40" s="192"/>
      <c r="EI40" s="192"/>
      <c r="EJ40" s="192"/>
      <c r="EK40" s="192"/>
      <c r="EL40" s="192"/>
      <c r="EM40" s="192"/>
      <c r="EN40" s="192"/>
      <c r="EO40" s="192"/>
      <c r="EP40" s="192"/>
      <c r="EQ40" s="192"/>
      <c r="ER40" s="191"/>
      <c r="ES40" s="191"/>
      <c r="ET40" s="191"/>
      <c r="EU40" s="192"/>
      <c r="EV40" s="192"/>
      <c r="EW40" s="192"/>
      <c r="EX40" s="192"/>
      <c r="EY40" s="192"/>
      <c r="EZ40" s="192"/>
      <c r="FA40" s="192"/>
      <c r="FB40" s="192"/>
      <c r="FC40" s="192"/>
      <c r="FD40" s="192"/>
      <c r="FE40" s="192"/>
      <c r="FF40" s="192"/>
      <c r="FG40" s="191"/>
      <c r="FH40" s="191"/>
      <c r="FI40" s="191"/>
      <c r="FJ40" s="192"/>
      <c r="FK40" s="192"/>
      <c r="FL40" s="192"/>
      <c r="FM40" s="192"/>
      <c r="FN40" s="192"/>
      <c r="FO40" s="192"/>
      <c r="FP40" s="192"/>
      <c r="FQ40" s="192"/>
      <c r="FR40" s="192"/>
      <c r="FS40" s="192"/>
      <c r="FT40" s="192"/>
      <c r="FU40" s="192"/>
      <c r="FV40" s="191"/>
      <c r="FW40" s="191"/>
      <c r="FX40" s="191"/>
      <c r="FY40" s="192"/>
      <c r="FZ40" s="192"/>
      <c r="GA40" s="192"/>
      <c r="GB40" s="192"/>
      <c r="GC40" s="192"/>
      <c r="GD40" s="192"/>
      <c r="GE40" s="192"/>
      <c r="GF40" s="192"/>
      <c r="GG40" s="192"/>
      <c r="GH40" s="192"/>
      <c r="GI40" s="192"/>
      <c r="GJ40" s="192"/>
      <c r="GK40" s="191"/>
      <c r="GL40" s="191"/>
      <c r="GM40" s="191"/>
      <c r="GN40" s="192"/>
      <c r="GO40" s="192"/>
      <c r="GP40" s="192"/>
      <c r="GQ40" s="192"/>
      <c r="GR40" s="192"/>
      <c r="GS40" s="192"/>
      <c r="GT40" s="192"/>
      <c r="GU40" s="192"/>
      <c r="GV40" s="192"/>
      <c r="GW40" s="192"/>
      <c r="GX40" s="192"/>
      <c r="GY40" s="192"/>
      <c r="GZ40" s="191"/>
      <c r="HA40" s="191"/>
      <c r="HB40" s="191"/>
      <c r="HC40" s="192"/>
      <c r="HD40" s="192"/>
      <c r="HE40" s="192"/>
      <c r="HF40" s="192"/>
      <c r="HG40" s="192"/>
      <c r="HH40" s="192"/>
      <c r="HI40" s="192"/>
      <c r="HJ40" s="192"/>
      <c r="HK40" s="192"/>
      <c r="HL40" s="192"/>
      <c r="HM40" s="192"/>
      <c r="HN40" s="192"/>
      <c r="HO40" s="191"/>
      <c r="HP40" s="191"/>
      <c r="HQ40" s="191"/>
      <c r="HR40" s="192"/>
      <c r="HS40" s="192"/>
      <c r="HT40" s="192"/>
      <c r="HU40" s="192"/>
      <c r="HV40" s="192"/>
      <c r="HW40" s="192"/>
      <c r="HX40" s="192"/>
      <c r="HY40" s="192"/>
      <c r="HZ40" s="192"/>
      <c r="IA40" s="192"/>
      <c r="IB40" s="192"/>
      <c r="IC40" s="192"/>
      <c r="ID40" s="191"/>
      <c r="IE40" s="191"/>
      <c r="IF40" s="191"/>
      <c r="IG40" s="192"/>
      <c r="IH40" s="192"/>
      <c r="II40" s="192"/>
      <c r="IJ40" s="192"/>
      <c r="IK40" s="192"/>
      <c r="IL40" s="192"/>
      <c r="IM40" s="192"/>
      <c r="IN40" s="192"/>
      <c r="IO40" s="192"/>
      <c r="IP40" s="192"/>
      <c r="IQ40" s="192"/>
      <c r="IR40" s="192"/>
      <c r="IS40" s="191"/>
    </row>
    <row r="41" spans="1:253" ht="26.25" customHeight="1" x14ac:dyDescent="0.3">
      <c r="A41" s="119" t="s">
        <v>155</v>
      </c>
      <c r="B41" s="21"/>
      <c r="C41" s="49"/>
      <c r="D41" s="49"/>
      <c r="E41" s="49"/>
      <c r="F41" s="49"/>
      <c r="G41" s="49"/>
      <c r="H41" s="49"/>
      <c r="I41" s="49"/>
      <c r="J41" s="49"/>
      <c r="K41" s="49"/>
      <c r="L41" s="49"/>
      <c r="M41" s="49"/>
      <c r="N41" s="49"/>
      <c r="O41" s="42"/>
    </row>
    <row r="42" spans="1:253" x14ac:dyDescent="0.25">
      <c r="A42" s="22" t="str">
        <f>'Изходни данни'!A21</f>
        <v>малки населени места (до 3000 жители)</v>
      </c>
      <c r="B42" s="303"/>
      <c r="C42" s="49"/>
      <c r="D42" s="49"/>
      <c r="E42" s="49"/>
      <c r="F42" s="49"/>
      <c r="G42" s="49"/>
      <c r="H42" s="49"/>
      <c r="I42" s="49"/>
      <c r="J42" s="49"/>
      <c r="K42" s="49"/>
      <c r="L42" s="49"/>
      <c r="M42" s="49"/>
      <c r="N42" s="49"/>
      <c r="O42" s="42"/>
    </row>
    <row r="43" spans="1:253" x14ac:dyDescent="0.25">
      <c r="A43" s="123" t="s">
        <v>125</v>
      </c>
      <c r="B43" s="459" t="s">
        <v>84</v>
      </c>
      <c r="C43" s="121">
        <f>'Контейнери&amp;автомобили'!E49</f>
        <v>142</v>
      </c>
      <c r="D43" s="127">
        <f>'Контейнери&amp;автомобили'!F49</f>
        <v>142</v>
      </c>
      <c r="E43" s="121">
        <f>'Контейнери&amp;автомобили'!G49</f>
        <v>142</v>
      </c>
      <c r="F43" s="121">
        <f>'Контейнери&amp;автомобили'!H49</f>
        <v>142</v>
      </c>
      <c r="G43" s="121">
        <f>'Контейнери&amp;автомобили'!I49</f>
        <v>142</v>
      </c>
      <c r="H43" s="121">
        <f>'Контейнери&amp;автомобили'!J49</f>
        <v>142</v>
      </c>
      <c r="I43" s="121">
        <f>'Контейнери&amp;автомобили'!K49</f>
        <v>142</v>
      </c>
      <c r="J43" s="121">
        <f>'Контейнери&amp;автомобили'!L49</f>
        <v>142</v>
      </c>
      <c r="K43" s="121">
        <f>'Контейнери&amp;автомобили'!M49</f>
        <v>142</v>
      </c>
      <c r="L43" s="121">
        <f>'Контейнери&amp;автомобили'!N49</f>
        <v>142</v>
      </c>
      <c r="M43" s="121">
        <f>'Контейнери&amp;автомобили'!O49</f>
        <v>142</v>
      </c>
      <c r="N43" s="121">
        <f>'Контейнери&amp;автомобили'!P49</f>
        <v>142</v>
      </c>
      <c r="O43" s="42"/>
    </row>
    <row r="44" spans="1:253" x14ac:dyDescent="0.25">
      <c r="A44" s="124" t="s">
        <v>126</v>
      </c>
      <c r="B44" s="460" t="s">
        <v>84</v>
      </c>
      <c r="C44" s="122">
        <f>'Контейнери&amp;автомобили'!E124</f>
        <v>142</v>
      </c>
      <c r="D44" s="128">
        <f>'Контейнери&amp;автомобили'!F124</f>
        <v>142</v>
      </c>
      <c r="E44" s="122">
        <f>'Контейнери&amp;автомобили'!G124</f>
        <v>142</v>
      </c>
      <c r="F44" s="122">
        <f>'Контейнери&amp;автомобили'!H124</f>
        <v>142</v>
      </c>
      <c r="G44" s="122">
        <f>'Контейнери&amp;автомобили'!I124</f>
        <v>142</v>
      </c>
      <c r="H44" s="122">
        <f>'Контейнери&amp;автомобили'!J124</f>
        <v>142</v>
      </c>
      <c r="I44" s="122">
        <f>'Контейнери&amp;автомобили'!K124</f>
        <v>142</v>
      </c>
      <c r="J44" s="122">
        <f>'Контейнери&amp;автомобили'!L124</f>
        <v>142</v>
      </c>
      <c r="K44" s="122">
        <f>'Контейнери&amp;автомобили'!M124</f>
        <v>142</v>
      </c>
      <c r="L44" s="122">
        <f>'Контейнери&amp;автомобили'!N124</f>
        <v>142</v>
      </c>
      <c r="M44" s="122">
        <f>'Контейнери&amp;автомобили'!O124</f>
        <v>142</v>
      </c>
      <c r="N44" s="122">
        <f>'Контейнери&amp;автомобили'!P124</f>
        <v>142</v>
      </c>
      <c r="O44" s="42"/>
    </row>
    <row r="45" spans="1:253" x14ac:dyDescent="0.25">
      <c r="A45" s="201" t="s">
        <v>127</v>
      </c>
      <c r="B45" s="461" t="s">
        <v>84</v>
      </c>
      <c r="C45" s="195">
        <f>'Контейнери&amp;автомобили'!E200</f>
        <v>142</v>
      </c>
      <c r="D45" s="202">
        <f>'Контейнери&amp;автомобили'!F200</f>
        <v>142</v>
      </c>
      <c r="E45" s="195">
        <f>'Контейнери&amp;автомобили'!G200</f>
        <v>142</v>
      </c>
      <c r="F45" s="195">
        <f>'Контейнери&amp;автомобили'!H200</f>
        <v>142</v>
      </c>
      <c r="G45" s="195">
        <f>'Контейнери&amp;автомобили'!I200</f>
        <v>142</v>
      </c>
      <c r="H45" s="195">
        <f>'Контейнери&amp;автомобили'!J200</f>
        <v>142</v>
      </c>
      <c r="I45" s="195">
        <f>'Контейнери&amp;автомобили'!K200</f>
        <v>142</v>
      </c>
      <c r="J45" s="195">
        <f>'Контейнери&amp;автомобили'!L200</f>
        <v>142</v>
      </c>
      <c r="K45" s="195">
        <f>'Контейнери&amp;автомобили'!M200</f>
        <v>142</v>
      </c>
      <c r="L45" s="195">
        <f>'Контейнери&amp;автомобили'!N200</f>
        <v>142</v>
      </c>
      <c r="M45" s="195">
        <f>'Контейнери&amp;автомобили'!O200</f>
        <v>142</v>
      </c>
      <c r="N45" s="195">
        <f>'Контейнери&amp;автомобили'!P200</f>
        <v>142</v>
      </c>
      <c r="O45" s="42"/>
    </row>
    <row r="46" spans="1:253" x14ac:dyDescent="0.25">
      <c r="B46" s="21"/>
      <c r="D46" s="129"/>
    </row>
    <row r="47" spans="1:253" x14ac:dyDescent="0.25">
      <c r="A47" s="22" t="str">
        <f>'Изходни данни'!A90</f>
        <v>големи населени места (повече от 3000 жители)</v>
      </c>
      <c r="B47" s="303"/>
      <c r="C47" s="49"/>
      <c r="D47" s="130"/>
      <c r="E47" s="49"/>
      <c r="F47" s="49"/>
      <c r="G47" s="49"/>
      <c r="H47" s="49"/>
      <c r="I47" s="49"/>
      <c r="J47" s="49"/>
      <c r="K47" s="49"/>
      <c r="L47" s="49"/>
      <c r="M47" s="49"/>
      <c r="N47" s="49"/>
      <c r="O47" s="42"/>
    </row>
    <row r="48" spans="1:253" x14ac:dyDescent="0.25">
      <c r="A48" s="123" t="s">
        <v>125</v>
      </c>
      <c r="B48" s="462" t="s">
        <v>84</v>
      </c>
      <c r="C48" s="120">
        <f>'Контейнери&amp;автомобили'!E276</f>
        <v>326</v>
      </c>
      <c r="D48" s="131">
        <f>'Контейнери&amp;автомобили'!F276</f>
        <v>326</v>
      </c>
      <c r="E48" s="120">
        <f>'Контейнери&amp;автомобили'!G276</f>
        <v>326</v>
      </c>
      <c r="F48" s="120">
        <f>'Контейнери&amp;автомобили'!H276</f>
        <v>326</v>
      </c>
      <c r="G48" s="120">
        <f>'Контейнери&amp;автомобили'!I276</f>
        <v>326</v>
      </c>
      <c r="H48" s="120">
        <f>'Контейнери&amp;автомобили'!J276</f>
        <v>326</v>
      </c>
      <c r="I48" s="120">
        <f>'Контейнери&amp;автомобили'!K276</f>
        <v>326</v>
      </c>
      <c r="J48" s="120">
        <f>'Контейнери&amp;автомобили'!L276</f>
        <v>326</v>
      </c>
      <c r="K48" s="120">
        <f>'Контейнери&amp;автомобили'!M276</f>
        <v>326</v>
      </c>
      <c r="L48" s="120">
        <f>'Контейнери&amp;автомобили'!N276</f>
        <v>326</v>
      </c>
      <c r="M48" s="120">
        <f>'Контейнери&amp;автомобили'!O276</f>
        <v>326</v>
      </c>
      <c r="N48" s="120">
        <f>'Контейнери&amp;автомобили'!P276</f>
        <v>326</v>
      </c>
      <c r="O48" s="42"/>
    </row>
    <row r="49" spans="1:15" x14ac:dyDescent="0.25">
      <c r="A49" s="124" t="s">
        <v>126</v>
      </c>
      <c r="B49" s="460" t="s">
        <v>84</v>
      </c>
      <c r="C49" s="122">
        <f>'Контейнери&amp;автомобили'!E352</f>
        <v>326</v>
      </c>
      <c r="D49" s="128">
        <f>'Контейнери&amp;автомобили'!F352</f>
        <v>326</v>
      </c>
      <c r="E49" s="122">
        <f>'Контейнери&amp;автомобили'!G352</f>
        <v>326</v>
      </c>
      <c r="F49" s="122">
        <f>'Контейнери&amp;автомобили'!H352</f>
        <v>326</v>
      </c>
      <c r="G49" s="122">
        <f>'Контейнери&amp;автомобили'!I352</f>
        <v>326</v>
      </c>
      <c r="H49" s="122">
        <f>'Контейнери&amp;автомобили'!J352</f>
        <v>326</v>
      </c>
      <c r="I49" s="122">
        <f>'Контейнери&amp;автомобили'!K352</f>
        <v>326</v>
      </c>
      <c r="J49" s="122">
        <f>'Контейнери&amp;автомобили'!L352</f>
        <v>326</v>
      </c>
      <c r="K49" s="122">
        <f>'Контейнери&amp;автомобили'!M352</f>
        <v>326</v>
      </c>
      <c r="L49" s="122">
        <f>'Контейнери&amp;автомобили'!N352</f>
        <v>326</v>
      </c>
      <c r="M49" s="122">
        <f>'Контейнери&amp;автомобили'!O352</f>
        <v>326</v>
      </c>
      <c r="N49" s="122">
        <f>'Контейнери&amp;автомобили'!P352</f>
        <v>326</v>
      </c>
      <c r="O49" s="42"/>
    </row>
    <row r="50" spans="1:15" x14ac:dyDescent="0.25">
      <c r="A50" s="201" t="s">
        <v>127</v>
      </c>
      <c r="B50" s="461" t="s">
        <v>84</v>
      </c>
      <c r="C50" s="195">
        <f>'Контейнери&amp;автомобили'!E428</f>
        <v>326</v>
      </c>
      <c r="D50" s="202">
        <f>'Контейнери&amp;автомобили'!F428</f>
        <v>326</v>
      </c>
      <c r="E50" s="195">
        <f>'Контейнери&amp;автомобили'!G428</f>
        <v>326</v>
      </c>
      <c r="F50" s="195">
        <f>'Контейнери&amp;автомобили'!H428</f>
        <v>326</v>
      </c>
      <c r="G50" s="195">
        <f>'Контейнери&amp;автомобили'!I428</f>
        <v>326</v>
      </c>
      <c r="H50" s="195">
        <f>'Контейнери&amp;автомобили'!J428</f>
        <v>326</v>
      </c>
      <c r="I50" s="195">
        <f>'Контейнери&amp;автомобили'!K428</f>
        <v>326</v>
      </c>
      <c r="J50" s="195">
        <f>'Контейнери&amp;автомобили'!L428</f>
        <v>326</v>
      </c>
      <c r="K50" s="195">
        <f>'Контейнери&amp;автомобили'!M428</f>
        <v>326</v>
      </c>
      <c r="L50" s="195">
        <f>'Контейнери&amp;автомобили'!N428</f>
        <v>326</v>
      </c>
      <c r="M50" s="195">
        <f>'Контейнери&amp;автомобили'!O428</f>
        <v>326</v>
      </c>
      <c r="N50" s="195">
        <f>'Контейнери&amp;автомобили'!P428</f>
        <v>326</v>
      </c>
      <c r="O50" s="42"/>
    </row>
    <row r="51" spans="1:15" x14ac:dyDescent="0.25">
      <c r="B51" s="21"/>
      <c r="D51" s="132"/>
    </row>
    <row r="52" spans="1:15" x14ac:dyDescent="0.25">
      <c r="A52" s="22" t="s">
        <v>154</v>
      </c>
      <c r="B52" s="303"/>
      <c r="C52" s="49"/>
      <c r="D52" s="49"/>
      <c r="E52" s="49"/>
      <c r="F52" s="49"/>
      <c r="G52" s="49"/>
      <c r="H52" s="49"/>
      <c r="I52" s="49"/>
      <c r="J52" s="49"/>
      <c r="K52" s="49"/>
      <c r="L52" s="49"/>
      <c r="M52" s="49"/>
      <c r="N52" s="49"/>
      <c r="O52" s="42"/>
    </row>
    <row r="53" spans="1:15" x14ac:dyDescent="0.25">
      <c r="A53" s="123" t="s">
        <v>120</v>
      </c>
      <c r="B53" s="462" t="s">
        <v>84</v>
      </c>
      <c r="C53" s="125">
        <f>ROUNDUP(('Контейнери&amp;автомобили'!E55+'Контейнери&amp;автомобили'!E282),0)</f>
        <v>492</v>
      </c>
      <c r="D53" s="125">
        <f>ROUNDUP(('Контейнери&amp;автомобили'!F55+'Контейнери&amp;автомобили'!F282),0)</f>
        <v>508</v>
      </c>
      <c r="E53" s="125">
        <f>ROUNDUP(('Контейнери&amp;автомобили'!G55+'Контейнери&amp;автомобили'!G282),0)</f>
        <v>508</v>
      </c>
      <c r="F53" s="125">
        <f>ROUNDUP(('Контейнери&amp;автомобили'!H55+'Контейнери&amp;автомобили'!H282),0)</f>
        <v>508</v>
      </c>
      <c r="G53" s="125">
        <f>ROUNDUP(('Контейнери&amp;автомобили'!I55+'Контейнери&amp;автомобили'!I282),0)</f>
        <v>508</v>
      </c>
      <c r="H53" s="125">
        <f>ROUNDUP(('Контейнери&amp;автомобили'!J55+'Контейнери&amp;автомобили'!J282),0)</f>
        <v>508</v>
      </c>
      <c r="I53" s="125">
        <f>ROUNDUP(('Контейнери&amp;автомобили'!K55+'Контейнери&amp;автомобили'!K282),0)</f>
        <v>508</v>
      </c>
      <c r="J53" s="125">
        <f>ROUNDUP(('Контейнери&amp;автомобили'!L55+'Контейнери&amp;автомобили'!L282),0)</f>
        <v>508</v>
      </c>
      <c r="K53" s="125">
        <f>ROUNDUP(('Контейнери&amp;автомобили'!M55+'Контейнери&amp;автомобили'!M282),0)</f>
        <v>508</v>
      </c>
      <c r="L53" s="125">
        <f>ROUNDUP(('Контейнери&amp;автомобили'!N55+'Контейнери&amp;автомобили'!N282),0)</f>
        <v>508</v>
      </c>
      <c r="M53" s="125">
        <f>ROUNDUP(('Контейнери&amp;автомобили'!O55+'Контейнери&amp;автомобили'!O282),0)</f>
        <v>508</v>
      </c>
      <c r="N53" s="125">
        <f>ROUNDUP(('Контейнери&amp;автомобили'!P55+'Контейнери&amp;автомобили'!P282),0)</f>
        <v>508</v>
      </c>
      <c r="O53" s="42"/>
    </row>
    <row r="54" spans="1:15" x14ac:dyDescent="0.25">
      <c r="A54" s="124" t="s">
        <v>121</v>
      </c>
      <c r="B54" s="460" t="s">
        <v>84</v>
      </c>
      <c r="C54" s="126">
        <f>ROUNDUP(('Контейнери&amp;автомобили'!E358+'Контейнери&amp;автомобили'!E130),0)</f>
        <v>492</v>
      </c>
      <c r="D54" s="126">
        <f>ROUNDUP(('Контейнери&amp;автомобили'!F358+'Контейнери&amp;автомобили'!F130),0)</f>
        <v>492</v>
      </c>
      <c r="E54" s="126">
        <f>ROUNDUP(('Контейнери&amp;автомобили'!G358+'Контейнери&amp;автомобили'!G130),0)</f>
        <v>492</v>
      </c>
      <c r="F54" s="126">
        <f>ROUNDUP(('Контейнери&amp;автомобили'!H358+'Контейнери&amp;автомобили'!H130),0)</f>
        <v>492</v>
      </c>
      <c r="G54" s="126">
        <f>ROUNDUP(('Контейнери&amp;автомобили'!I358+'Контейнери&amp;автомобили'!I130),0)</f>
        <v>492</v>
      </c>
      <c r="H54" s="126">
        <f>ROUNDUP(('Контейнери&amp;автомобили'!J358+'Контейнери&amp;автомобили'!J130),0)</f>
        <v>492</v>
      </c>
      <c r="I54" s="126">
        <f>ROUNDUP(('Контейнери&amp;автомобили'!K358+'Контейнери&amp;автомобили'!K130),0)</f>
        <v>492</v>
      </c>
      <c r="J54" s="126">
        <f>ROUNDUP(('Контейнери&amp;автомобили'!L358+'Контейнери&amp;автомобили'!L130),0)</f>
        <v>492</v>
      </c>
      <c r="K54" s="126">
        <f>ROUNDUP(('Контейнери&amp;автомобили'!M358+'Контейнери&amp;автомобили'!M130),0)</f>
        <v>492</v>
      </c>
      <c r="L54" s="126">
        <f>ROUNDUP(('Контейнери&amp;автомобили'!N358+'Контейнери&amp;автомобили'!N130),0)</f>
        <v>492</v>
      </c>
      <c r="M54" s="126">
        <f>ROUNDUP(('Контейнери&amp;автомобили'!O358+'Контейнери&amp;автомобили'!O130),0)</f>
        <v>492</v>
      </c>
      <c r="N54" s="126">
        <f>ROUNDUP(('Контейнери&amp;автомобили'!P358+'Контейнери&amp;автомобили'!P130),0)</f>
        <v>492</v>
      </c>
      <c r="O54" s="42"/>
    </row>
    <row r="55" spans="1:15" x14ac:dyDescent="0.25">
      <c r="A55" s="201" t="s">
        <v>122</v>
      </c>
      <c r="B55" s="461" t="s">
        <v>84</v>
      </c>
      <c r="C55" s="203">
        <f>ROUNDUP(('Контейнери&amp;автомобили'!E206+'Контейнери&amp;автомобили'!E434),0)</f>
        <v>492</v>
      </c>
      <c r="D55" s="203">
        <f>ROUNDUP(('Контейнери&amp;автомобили'!F206+'Контейнери&amp;автомобили'!F434),0)</f>
        <v>508</v>
      </c>
      <c r="E55" s="203">
        <f>ROUNDUP(('Контейнери&amp;автомобили'!G206+'Контейнери&amp;автомобили'!G434),0)</f>
        <v>508</v>
      </c>
      <c r="F55" s="203">
        <f>ROUNDUP(('Контейнери&amp;автомобили'!H206+'Контейнери&amp;автомобили'!H434),0)</f>
        <v>508</v>
      </c>
      <c r="G55" s="203">
        <f>ROUNDUP(('Контейнери&amp;автомобили'!I206+'Контейнери&amp;автомобили'!I434),0)</f>
        <v>508</v>
      </c>
      <c r="H55" s="203">
        <f>ROUNDUP(('Контейнери&amp;автомобили'!J206+'Контейнери&amp;автомобили'!J434),0)</f>
        <v>508</v>
      </c>
      <c r="I55" s="203">
        <f>ROUNDUP(('Контейнери&amp;автомобили'!K206+'Контейнери&amp;автомобили'!K434),0)</f>
        <v>508</v>
      </c>
      <c r="J55" s="203">
        <f>ROUNDUP(('Контейнери&amp;автомобили'!L206+'Контейнери&amp;автомобили'!L434),0)</f>
        <v>508</v>
      </c>
      <c r="K55" s="203">
        <f>ROUNDUP(('Контейнери&amp;автомобили'!M206+'Контейнери&amp;автомобили'!M434),0)</f>
        <v>508</v>
      </c>
      <c r="L55" s="203">
        <f>ROUNDUP(('Контейнери&amp;автомобили'!N206+'Контейнери&amp;автомобили'!N434),0)</f>
        <v>508</v>
      </c>
      <c r="M55" s="203">
        <f>ROUNDUP(('Контейнери&amp;автомобили'!O206+'Контейнери&amp;автомобили'!O434),0)</f>
        <v>508</v>
      </c>
      <c r="N55" s="203">
        <f>ROUNDUP(('Контейнери&amp;автомобили'!P206+'Контейнери&amp;автомобили'!P434),0)</f>
        <v>508</v>
      </c>
      <c r="O55" s="42"/>
    </row>
    <row r="56" spans="1:15" x14ac:dyDescent="0.25">
      <c r="B56" s="21"/>
    </row>
    <row r="57" spans="1:15" ht="18.75" x14ac:dyDescent="0.3">
      <c r="A57" s="119" t="s">
        <v>226</v>
      </c>
      <c r="B57" s="21"/>
      <c r="O57" s="42"/>
    </row>
    <row r="58" spans="1:15" ht="16.899999999999999" customHeight="1" x14ac:dyDescent="0.25">
      <c r="A58" s="124" t="s">
        <v>227</v>
      </c>
      <c r="B58" s="460" t="s">
        <v>84</v>
      </c>
      <c r="C58" s="122">
        <f>'Контейнери&amp;автомобили'!E476</f>
        <v>3</v>
      </c>
      <c r="D58" s="122">
        <f>'Контейнери&amp;автомобили'!F476</f>
        <v>3</v>
      </c>
      <c r="E58" s="122">
        <f>'Контейнери&amp;автомобили'!G476</f>
        <v>3</v>
      </c>
      <c r="F58" s="122">
        <f>'Контейнери&amp;автомобили'!H476</f>
        <v>3</v>
      </c>
      <c r="G58" s="122">
        <f>'Контейнери&amp;автомобили'!I476</f>
        <v>3</v>
      </c>
      <c r="H58" s="122">
        <f>'Контейнери&amp;автомобили'!J476</f>
        <v>3</v>
      </c>
      <c r="I58" s="122">
        <f>'Контейнери&amp;автомобили'!K476</f>
        <v>3</v>
      </c>
      <c r="J58" s="122">
        <f>'Контейнери&amp;автомобили'!L476</f>
        <v>3</v>
      </c>
      <c r="K58" s="122">
        <f>'Контейнери&amp;автомобили'!M476</f>
        <v>3</v>
      </c>
      <c r="L58" s="122">
        <f>'Контейнери&amp;автомобили'!N476</f>
        <v>3</v>
      </c>
      <c r="M58" s="122">
        <f>'Контейнери&amp;автомобили'!O476</f>
        <v>3</v>
      </c>
      <c r="N58" s="122">
        <f>'Контейнери&amp;автомобили'!P476</f>
        <v>3</v>
      </c>
      <c r="O58" s="42"/>
    </row>
    <row r="59" spans="1:15" x14ac:dyDescent="0.25">
      <c r="A59" s="201" t="s">
        <v>228</v>
      </c>
      <c r="B59" s="461" t="s">
        <v>84</v>
      </c>
      <c r="C59" s="195">
        <f>'Контейнери&amp;автомобили'!E483</f>
        <v>1</v>
      </c>
      <c r="D59" s="195">
        <f>'Контейнери&amp;автомобили'!F483</f>
        <v>1</v>
      </c>
      <c r="E59" s="195">
        <f>'Контейнери&amp;автомобили'!G483</f>
        <v>1</v>
      </c>
      <c r="F59" s="195">
        <f>'Контейнери&amp;автомобили'!H483</f>
        <v>1</v>
      </c>
      <c r="G59" s="195">
        <f>'Контейнери&amp;автомобили'!I483</f>
        <v>1</v>
      </c>
      <c r="H59" s="195">
        <f>'Контейнери&amp;автомобили'!J483</f>
        <v>1</v>
      </c>
      <c r="I59" s="195">
        <f>'Контейнери&amp;автомобили'!K483</f>
        <v>1</v>
      </c>
      <c r="J59" s="195">
        <f>'Контейнери&amp;автомобили'!L483</f>
        <v>1</v>
      </c>
      <c r="K59" s="195">
        <f>'Контейнери&amp;автомобили'!M483</f>
        <v>1</v>
      </c>
      <c r="L59" s="195">
        <f>'Контейнери&amp;автомобили'!N483</f>
        <v>1</v>
      </c>
      <c r="M59" s="195">
        <f>'Контейнери&amp;автомобили'!O483</f>
        <v>1</v>
      </c>
      <c r="N59" s="195">
        <f>'Контейнери&amp;автомобили'!P483</f>
        <v>1</v>
      </c>
      <c r="O59" s="42"/>
    </row>
    <row r="60" spans="1:15" x14ac:dyDescent="0.25">
      <c r="A60" s="3"/>
      <c r="B60" s="21"/>
      <c r="C60" s="49"/>
      <c r="D60" s="49"/>
      <c r="E60" s="49"/>
      <c r="F60" s="49"/>
      <c r="G60" s="49"/>
      <c r="H60" s="49"/>
      <c r="I60" s="49"/>
      <c r="J60" s="49"/>
      <c r="K60" s="49"/>
      <c r="L60" s="49"/>
      <c r="M60" s="49"/>
      <c r="N60" s="49"/>
      <c r="O60" s="42"/>
    </row>
    <row r="61" spans="1:15" ht="21" x14ac:dyDescent="0.35">
      <c r="A61" s="194" t="s">
        <v>169</v>
      </c>
      <c r="B61" s="463"/>
      <c r="C61" s="147"/>
      <c r="D61" s="147"/>
      <c r="E61" s="147"/>
      <c r="F61" s="147"/>
      <c r="G61" s="147"/>
      <c r="H61" s="147"/>
      <c r="I61" s="147"/>
      <c r="J61" s="147"/>
      <c r="K61" s="147"/>
      <c r="L61" s="147"/>
      <c r="M61" s="147"/>
      <c r="N61" s="147"/>
      <c r="O61" s="42"/>
    </row>
    <row r="62" spans="1:15" ht="18.75" x14ac:dyDescent="0.3">
      <c r="A62" s="118"/>
      <c r="B62" s="464"/>
      <c r="C62" s="118"/>
      <c r="D62" s="118"/>
      <c r="E62" s="118"/>
      <c r="F62" s="118"/>
      <c r="G62" s="118"/>
      <c r="H62" s="118"/>
      <c r="I62" s="118"/>
      <c r="J62" s="118"/>
      <c r="K62" s="118"/>
      <c r="L62" s="118"/>
      <c r="M62" s="118"/>
      <c r="N62" s="118"/>
      <c r="O62" s="42"/>
    </row>
    <row r="63" spans="1:15" ht="30" x14ac:dyDescent="0.25">
      <c r="A63" s="196" t="str">
        <f>"Kонтейнери за разделно събиране на биоотпадъци в "&amp;'Изходни данни'!A5</f>
        <v>Kонтейнери за разделно събиране на биоотпадъци в малки населени места (до 3000 жители)</v>
      </c>
      <c r="B63" s="465" t="s">
        <v>84</v>
      </c>
      <c r="C63" s="197">
        <f>'Контейнери&amp;автомобили'!E587</f>
        <v>0</v>
      </c>
      <c r="D63" s="198">
        <f>'Контейнери&amp;автомобили'!F587</f>
        <v>32</v>
      </c>
      <c r="E63" s="197">
        <f>'Контейнери&amp;автомобили'!G587</f>
        <v>32</v>
      </c>
      <c r="F63" s="197">
        <f>'Контейнери&amp;автомобили'!H587</f>
        <v>32</v>
      </c>
      <c r="G63" s="197">
        <f>'Контейнери&amp;автомобили'!I587</f>
        <v>32</v>
      </c>
      <c r="H63" s="197">
        <f>'Контейнери&amp;автомобили'!J587</f>
        <v>32</v>
      </c>
      <c r="I63" s="197">
        <f>'Контейнери&amp;автомобили'!K587</f>
        <v>32</v>
      </c>
      <c r="J63" s="197">
        <f>'Контейнери&amp;автомобили'!L587</f>
        <v>32</v>
      </c>
      <c r="K63" s="197">
        <f>'Контейнери&amp;автомобили'!M587</f>
        <v>32</v>
      </c>
      <c r="L63" s="197">
        <f>'Контейнери&amp;автомобили'!N587</f>
        <v>32</v>
      </c>
      <c r="M63" s="197">
        <f>'Контейнери&amp;автомобили'!O587</f>
        <v>32</v>
      </c>
      <c r="N63" s="197">
        <f>'Контейнери&amp;автомобили'!P587</f>
        <v>32</v>
      </c>
      <c r="O63" s="42"/>
    </row>
    <row r="64" spans="1:15" x14ac:dyDescent="0.25">
      <c r="A64" s="196"/>
      <c r="B64" s="465"/>
      <c r="C64" s="199"/>
      <c r="D64" s="199"/>
      <c r="E64" s="199"/>
      <c r="F64" s="199"/>
      <c r="G64" s="199"/>
      <c r="H64" s="199"/>
      <c r="I64" s="199"/>
      <c r="J64" s="199"/>
      <c r="K64" s="199"/>
      <c r="L64" s="199"/>
      <c r="M64" s="199"/>
      <c r="N64" s="199"/>
      <c r="O64" s="42"/>
    </row>
    <row r="65" spans="1:15" ht="30" x14ac:dyDescent="0.25">
      <c r="A65" s="196" t="str">
        <f>"Kонтейнери за разделно събиране на биоотпадъци в "&amp;'Изходни данни'!A6</f>
        <v>Kонтейнери за разделно събиране на биоотпадъци в големи населени места (повече от 3000 жители)</v>
      </c>
      <c r="B65" s="465" t="s">
        <v>84</v>
      </c>
      <c r="C65" s="197">
        <f>'Контейнери&amp;автомобили'!E514</f>
        <v>0</v>
      </c>
      <c r="D65" s="197">
        <f>'Контейнери&amp;автомобили'!F514</f>
        <v>318</v>
      </c>
      <c r="E65" s="197">
        <f>'Контейнери&amp;автомобили'!G514</f>
        <v>318</v>
      </c>
      <c r="F65" s="197">
        <f>'Контейнери&amp;автомобили'!H514</f>
        <v>318</v>
      </c>
      <c r="G65" s="197">
        <f>'Контейнери&amp;автомобили'!I514</f>
        <v>318</v>
      </c>
      <c r="H65" s="197">
        <f>'Контейнери&amp;автомобили'!J514</f>
        <v>318</v>
      </c>
      <c r="I65" s="197">
        <f>'Контейнери&amp;автомобили'!K514</f>
        <v>318</v>
      </c>
      <c r="J65" s="197">
        <f>'Контейнери&amp;автомобили'!L514</f>
        <v>318</v>
      </c>
      <c r="K65" s="197">
        <f>'Контейнери&amp;автомобили'!M514</f>
        <v>318</v>
      </c>
      <c r="L65" s="197">
        <f>'Контейнери&amp;автомобили'!N514</f>
        <v>318</v>
      </c>
      <c r="M65" s="197">
        <f>'Контейнери&amp;автомобили'!O514</f>
        <v>318</v>
      </c>
      <c r="N65" s="197">
        <f>'Контейнери&amp;автомобили'!P514</f>
        <v>318</v>
      </c>
      <c r="O65" s="42"/>
    </row>
    <row r="66" spans="1:15" x14ac:dyDescent="0.25">
      <c r="A66" s="196"/>
      <c r="B66" s="465"/>
      <c r="C66" s="199"/>
      <c r="D66" s="199"/>
      <c r="E66" s="199"/>
      <c r="F66" s="199"/>
      <c r="G66" s="199"/>
      <c r="H66" s="199"/>
      <c r="I66" s="199"/>
      <c r="J66" s="199"/>
      <c r="K66" s="199"/>
      <c r="L66" s="199"/>
      <c r="M66" s="199"/>
      <c r="N66" s="199"/>
      <c r="O66" s="42"/>
    </row>
    <row r="67" spans="1:15" ht="30" x14ac:dyDescent="0.25">
      <c r="A67" s="196" t="s">
        <v>171</v>
      </c>
      <c r="B67" s="465" t="s">
        <v>84</v>
      </c>
      <c r="C67" s="200">
        <f>ROUNDUP(('Контейнери&amp;автомобили'!E520+'Контейнери&amp;автомобили'!E593),0)</f>
        <v>0</v>
      </c>
      <c r="D67" s="200">
        <f>ROUNDUP(('Контейнери&amp;автомобили'!F520+'Контейнери&amp;автомобили'!F593),0)</f>
        <v>368</v>
      </c>
      <c r="E67" s="200">
        <f>ROUNDUP(('Контейнери&amp;автомобили'!G520+'Контейнери&amp;автомобили'!G593),0)</f>
        <v>368</v>
      </c>
      <c r="F67" s="200">
        <f>ROUNDUP(('Контейнери&amp;автомобили'!H520+'Контейнери&amp;автомобили'!H593),0)</f>
        <v>368</v>
      </c>
      <c r="G67" s="200">
        <f>ROUNDUP(('Контейнери&amp;автомобили'!I520+'Контейнери&amp;автомобили'!I593),0)</f>
        <v>368</v>
      </c>
      <c r="H67" s="200">
        <f>ROUNDUP(('Контейнери&amp;автомобили'!J520+'Контейнери&amp;автомобили'!J593),0)</f>
        <v>368</v>
      </c>
      <c r="I67" s="200">
        <f>ROUNDUP(('Контейнери&amp;автомобили'!K520+'Контейнери&amp;автомобили'!K593),0)</f>
        <v>368</v>
      </c>
      <c r="J67" s="200">
        <f>ROUNDUP(('Контейнери&amp;автомобили'!L520+'Контейнери&amp;автомобили'!L593),0)</f>
        <v>368</v>
      </c>
      <c r="K67" s="200">
        <f>ROUNDUP(('Контейнери&amp;автомобили'!M520+'Контейнери&amp;автомобили'!M593),0)</f>
        <v>368</v>
      </c>
      <c r="L67" s="200">
        <f>ROUNDUP(('Контейнери&amp;автомобили'!N520+'Контейнери&amp;автомобили'!N593),0)</f>
        <v>368</v>
      </c>
      <c r="M67" s="200">
        <f>ROUNDUP(('Контейнери&amp;автомобили'!O520+'Контейнери&amp;автомобили'!O593),0)</f>
        <v>368</v>
      </c>
      <c r="N67" s="200">
        <f>ROUNDUP(('Контейнери&amp;автомобили'!P520+'Контейнери&amp;автомобили'!P593),0)</f>
        <v>368</v>
      </c>
      <c r="O67" s="42"/>
    </row>
    <row r="68" spans="1:15" x14ac:dyDescent="0.25">
      <c r="A68" s="196" t="s">
        <v>172</v>
      </c>
      <c r="B68" s="465" t="s">
        <v>84</v>
      </c>
      <c r="C68" s="197">
        <f>'Контейнери&amp;автомобили'!E634</f>
        <v>0</v>
      </c>
      <c r="D68" s="197">
        <f>'Контейнери&amp;автомобили'!F634</f>
        <v>2</v>
      </c>
      <c r="E68" s="197">
        <f>'Контейнери&amp;автомобили'!G634</f>
        <v>2</v>
      </c>
      <c r="F68" s="197">
        <f>'Контейнери&amp;автомобили'!H634</f>
        <v>2</v>
      </c>
      <c r="G68" s="197">
        <f>'Контейнери&amp;автомобили'!I634</f>
        <v>2</v>
      </c>
      <c r="H68" s="197">
        <f>'Контейнери&amp;автомобили'!J634</f>
        <v>2</v>
      </c>
      <c r="I68" s="197">
        <f>'Контейнери&amp;автомобили'!K634</f>
        <v>2</v>
      </c>
      <c r="J68" s="197">
        <f>'Контейнери&amp;автомобили'!L634</f>
        <v>2</v>
      </c>
      <c r="K68" s="197">
        <f>'Контейнери&amp;автомобили'!M634</f>
        <v>2</v>
      </c>
      <c r="L68" s="197">
        <f>'Контейнери&amp;автомобили'!N634</f>
        <v>2</v>
      </c>
      <c r="M68" s="197">
        <f>'Контейнери&amp;автомобили'!O634</f>
        <v>2</v>
      </c>
      <c r="N68" s="197">
        <f>'Контейнери&amp;автомобили'!P634</f>
        <v>2</v>
      </c>
      <c r="O68" s="42"/>
    </row>
    <row r="69" spans="1:15" ht="8.25" customHeight="1" x14ac:dyDescent="0.25">
      <c r="A69" s="112"/>
      <c r="B69" s="458"/>
      <c r="C69" s="47"/>
      <c r="D69" s="47"/>
      <c r="E69" s="47"/>
      <c r="F69" s="47"/>
      <c r="G69" s="47"/>
      <c r="H69" s="47"/>
      <c r="I69" s="47"/>
      <c r="J69" s="47"/>
      <c r="K69" s="47"/>
      <c r="L69" s="47"/>
      <c r="M69" s="47"/>
      <c r="N69" s="47"/>
      <c r="O69" s="42"/>
    </row>
    <row r="70" spans="1:15" x14ac:dyDescent="0.25">
      <c r="A70" s="5"/>
      <c r="B70" s="21"/>
    </row>
    <row r="71" spans="1:15" x14ac:dyDescent="0.25">
      <c r="A71" s="5"/>
      <c r="B71" s="21"/>
    </row>
    <row r="72" spans="1:15" x14ac:dyDescent="0.25">
      <c r="A72" s="5"/>
      <c r="B72" s="21"/>
    </row>
    <row r="73" spans="1:15" x14ac:dyDescent="0.25">
      <c r="A73" s="5"/>
      <c r="B73" s="21"/>
    </row>
    <row r="74" spans="1:15" x14ac:dyDescent="0.25">
      <c r="A74" s="5"/>
      <c r="B74" s="21"/>
    </row>
    <row r="75" spans="1:15" x14ac:dyDescent="0.25">
      <c r="A75" s="5"/>
      <c r="B75" s="79"/>
    </row>
    <row r="76" spans="1:15" x14ac:dyDescent="0.25">
      <c r="A76" s="5"/>
      <c r="B76" s="79"/>
    </row>
    <row r="77" spans="1:15" x14ac:dyDescent="0.25">
      <c r="A77" s="5"/>
      <c r="B77" s="79"/>
    </row>
    <row r="78" spans="1:15" x14ac:dyDescent="0.25">
      <c r="A78" s="5"/>
      <c r="B78" s="79"/>
    </row>
    <row r="79" spans="1:15" x14ac:dyDescent="0.25">
      <c r="A79" s="5"/>
      <c r="B79" s="79"/>
    </row>
    <row r="80" spans="1:15" x14ac:dyDescent="0.25">
      <c r="A80" s="5"/>
      <c r="B80" s="79"/>
    </row>
    <row r="81" spans="1:2" x14ac:dyDescent="0.25">
      <c r="A81" s="5"/>
      <c r="B81" s="79"/>
    </row>
    <row r="82" spans="1:2" x14ac:dyDescent="0.25">
      <c r="A82" s="5"/>
      <c r="B82" s="79"/>
    </row>
    <row r="83" spans="1:2" x14ac:dyDescent="0.25">
      <c r="A83" s="5"/>
      <c r="B83" s="79"/>
    </row>
    <row r="84" spans="1:2" x14ac:dyDescent="0.25">
      <c r="A84" s="5"/>
      <c r="B84" s="79"/>
    </row>
    <row r="85" spans="1:2" x14ac:dyDescent="0.25">
      <c r="A85" s="5"/>
      <c r="B85" s="79"/>
    </row>
    <row r="86" spans="1:2" x14ac:dyDescent="0.25">
      <c r="A86" s="5"/>
      <c r="B86" s="79"/>
    </row>
    <row r="87" spans="1:2" x14ac:dyDescent="0.25">
      <c r="A87" s="5"/>
      <c r="B87" s="79"/>
    </row>
    <row r="88" spans="1:2" x14ac:dyDescent="0.25">
      <c r="A88" s="5"/>
      <c r="B88" s="79"/>
    </row>
    <row r="89" spans="1:2" x14ac:dyDescent="0.25">
      <c r="A89" s="5"/>
      <c r="B89" s="79"/>
    </row>
    <row r="90" spans="1:2" x14ac:dyDescent="0.25">
      <c r="A90" s="5"/>
      <c r="B90" s="79"/>
    </row>
    <row r="91" spans="1:2" x14ac:dyDescent="0.25">
      <c r="A91" s="5"/>
      <c r="B91" s="79"/>
    </row>
    <row r="92" spans="1:2" x14ac:dyDescent="0.25">
      <c r="A92" s="5"/>
      <c r="B92" s="79"/>
    </row>
    <row r="93" spans="1:2" x14ac:dyDescent="0.25">
      <c r="A93" s="5"/>
      <c r="B93" s="79"/>
    </row>
    <row r="94" spans="1:2" x14ac:dyDescent="0.25">
      <c r="A94" s="5"/>
      <c r="B94" s="79"/>
    </row>
    <row r="95" spans="1:2" x14ac:dyDescent="0.25">
      <c r="A95" s="5"/>
      <c r="B95" s="79"/>
    </row>
    <row r="96" spans="1:2" x14ac:dyDescent="0.25">
      <c r="A96" s="5"/>
      <c r="B96" s="79"/>
    </row>
    <row r="97" spans="1:2" x14ac:dyDescent="0.25">
      <c r="A97" s="5"/>
      <c r="B97" s="79"/>
    </row>
    <row r="98" spans="1:2" x14ac:dyDescent="0.25">
      <c r="A98" s="5"/>
      <c r="B98" s="79"/>
    </row>
    <row r="99" spans="1:2" x14ac:dyDescent="0.25">
      <c r="A99" s="5"/>
      <c r="B99" s="79"/>
    </row>
    <row r="100" spans="1:2" x14ac:dyDescent="0.25">
      <c r="A100" s="5"/>
      <c r="B100" s="79"/>
    </row>
    <row r="101" spans="1:2" x14ac:dyDescent="0.25">
      <c r="A101" s="5"/>
      <c r="B101" s="79"/>
    </row>
    <row r="102" spans="1:2" x14ac:dyDescent="0.25">
      <c r="A102" s="5"/>
      <c r="B102" s="79"/>
    </row>
    <row r="103" spans="1:2" x14ac:dyDescent="0.25">
      <c r="A103" s="5"/>
      <c r="B103" s="79"/>
    </row>
    <row r="104" spans="1:2" x14ac:dyDescent="0.25">
      <c r="A104" s="5"/>
      <c r="B104" s="79"/>
    </row>
    <row r="105" spans="1:2" x14ac:dyDescent="0.25">
      <c r="A105" s="5"/>
      <c r="B105" s="79"/>
    </row>
    <row r="106" spans="1:2" x14ac:dyDescent="0.25">
      <c r="A106" s="5"/>
      <c r="B106" s="79"/>
    </row>
    <row r="107" spans="1:2" x14ac:dyDescent="0.25">
      <c r="A107" s="5"/>
      <c r="B107" s="79"/>
    </row>
    <row r="108" spans="1:2" x14ac:dyDescent="0.25">
      <c r="A108" s="5"/>
      <c r="B108" s="79"/>
    </row>
    <row r="109" spans="1:2" x14ac:dyDescent="0.25">
      <c r="A109" s="5"/>
      <c r="B109" s="79"/>
    </row>
    <row r="110" spans="1:2" x14ac:dyDescent="0.25">
      <c r="A110" s="5"/>
      <c r="B110" s="79"/>
    </row>
    <row r="111" spans="1:2" x14ac:dyDescent="0.25">
      <c r="A111" s="5"/>
      <c r="B111" s="79"/>
    </row>
    <row r="112" spans="1:2" x14ac:dyDescent="0.25">
      <c r="A112" s="5"/>
      <c r="B112" s="79"/>
    </row>
    <row r="113" spans="1:2" x14ac:dyDescent="0.25">
      <c r="A113" s="5"/>
      <c r="B113" s="79"/>
    </row>
    <row r="114" spans="1:2" x14ac:dyDescent="0.25">
      <c r="A114" s="5"/>
      <c r="B114" s="79"/>
    </row>
    <row r="115" spans="1:2" x14ac:dyDescent="0.25">
      <c r="A115" s="5"/>
      <c r="B115" s="79"/>
    </row>
    <row r="116" spans="1:2" x14ac:dyDescent="0.25">
      <c r="A116" s="5"/>
      <c r="B116" s="79"/>
    </row>
    <row r="117" spans="1:2" x14ac:dyDescent="0.25">
      <c r="A117" s="5"/>
      <c r="B117" s="79"/>
    </row>
    <row r="118" spans="1:2" x14ac:dyDescent="0.25">
      <c r="A118" s="5"/>
      <c r="B118" s="79"/>
    </row>
    <row r="119" spans="1:2" x14ac:dyDescent="0.25">
      <c r="A119" s="5"/>
      <c r="B119" s="79"/>
    </row>
    <row r="120" spans="1:2" x14ac:dyDescent="0.25">
      <c r="A120" s="5"/>
      <c r="B120" s="79"/>
    </row>
    <row r="121" spans="1:2" x14ac:dyDescent="0.25">
      <c r="A121" s="5"/>
      <c r="B121" s="79"/>
    </row>
    <row r="122" spans="1:2" x14ac:dyDescent="0.25">
      <c r="A122" s="5"/>
      <c r="B122" s="28"/>
    </row>
    <row r="123" spans="1:2" x14ac:dyDescent="0.25">
      <c r="A123" s="5"/>
      <c r="B123" s="28"/>
    </row>
    <row r="124" spans="1:2" x14ac:dyDescent="0.25">
      <c r="A124" s="5"/>
      <c r="B124" s="28"/>
    </row>
    <row r="125" spans="1:2" x14ac:dyDescent="0.25">
      <c r="A125" s="5"/>
      <c r="B125" s="28"/>
    </row>
    <row r="126" spans="1:2" x14ac:dyDescent="0.25">
      <c r="A126" s="5"/>
      <c r="B126" s="28"/>
    </row>
    <row r="127" spans="1:2" x14ac:dyDescent="0.25">
      <c r="A127" s="5"/>
      <c r="B127" s="28"/>
    </row>
    <row r="128" spans="1:2" x14ac:dyDescent="0.25">
      <c r="A128" s="5"/>
      <c r="B128" s="28"/>
    </row>
    <row r="129" spans="1:2" x14ac:dyDescent="0.25">
      <c r="A129" s="5"/>
      <c r="B129" s="28"/>
    </row>
    <row r="130" spans="1:2" x14ac:dyDescent="0.25">
      <c r="A130" s="5"/>
      <c r="B130" s="28"/>
    </row>
    <row r="131" spans="1:2" x14ac:dyDescent="0.25">
      <c r="A131" s="5"/>
      <c r="B131" s="28"/>
    </row>
    <row r="132" spans="1:2" x14ac:dyDescent="0.25">
      <c r="A132" s="5"/>
      <c r="B132" s="28"/>
    </row>
    <row r="133" spans="1:2" x14ac:dyDescent="0.25">
      <c r="A133" s="5"/>
      <c r="B133" s="28"/>
    </row>
    <row r="134" spans="1:2" x14ac:dyDescent="0.25">
      <c r="A134" s="5"/>
      <c r="B134" s="28"/>
    </row>
    <row r="135" spans="1:2" x14ac:dyDescent="0.25">
      <c r="A135" s="5"/>
      <c r="B135" s="28"/>
    </row>
    <row r="136" spans="1:2" x14ac:dyDescent="0.25">
      <c r="A136" s="5"/>
      <c r="B136" s="28"/>
    </row>
    <row r="137" spans="1:2" x14ac:dyDescent="0.25">
      <c r="A137" s="5"/>
      <c r="B137" s="28"/>
    </row>
    <row r="138" spans="1:2" x14ac:dyDescent="0.25">
      <c r="A138" s="5"/>
      <c r="B138" s="28"/>
    </row>
    <row r="139" spans="1:2" x14ac:dyDescent="0.25">
      <c r="A139" s="5"/>
      <c r="B139" s="28"/>
    </row>
    <row r="140" spans="1:2" x14ac:dyDescent="0.25">
      <c r="A140" s="5"/>
      <c r="B140" s="28"/>
    </row>
    <row r="141" spans="1:2" x14ac:dyDescent="0.25">
      <c r="A141" s="5"/>
      <c r="B141" s="28"/>
    </row>
    <row r="142" spans="1:2" x14ac:dyDescent="0.25">
      <c r="A142" s="5"/>
    </row>
    <row r="143" spans="1:2" x14ac:dyDescent="0.25">
      <c r="A143" s="5"/>
    </row>
    <row r="144" spans="1:2"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sheetData>
  <phoneticPr fontId="2" type="noConversion"/>
  <pageMargins left="0.70866141732283472" right="0.70866141732283472" top="0.74803149606299213" bottom="0.74803149606299213" header="0.31496062992125984" footer="0.31496062992125984"/>
  <pageSetup paperSize="9" scale="57" fitToHeight="0" orientation="landscape" r:id="rId1"/>
  <headerFooter alignWithMargins="0">
    <oddHeader>&amp;L&amp;"Arial,Bold"&amp;12&amp;K01+049ПРИЛОЖЕНИЕ 1&amp;C&amp;"Arial,Bold"&amp;12&amp;K01+049Модел за изчисляване на броя необходими съдове и транспортни средства</oddHeader>
    <oddFooter>&amp;LOutputs summary&amp;R&amp;P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X849"/>
  <sheetViews>
    <sheetView tabSelected="1" zoomScaleNormal="100" workbookViewId="0">
      <pane xSplit="2" ySplit="5" topLeftCell="C455" activePane="bottomRight" state="frozen"/>
      <selection pane="topRight" activeCell="D1" sqref="D1"/>
      <selection pane="bottomLeft" activeCell="A7" sqref="A7"/>
      <selection pane="bottomRight" activeCell="A466" sqref="A466"/>
    </sheetView>
  </sheetViews>
  <sheetFormatPr defaultColWidth="11.5703125" defaultRowHeight="12.75" outlineLevelRow="1" x14ac:dyDescent="0.2"/>
  <cols>
    <col min="1" max="1" width="62.140625" style="54" customWidth="1"/>
    <col min="2" max="2" width="2.42578125" style="54" customWidth="1"/>
    <col min="3" max="3" width="1.7109375" style="54" customWidth="1"/>
    <col min="4" max="4" width="17.5703125" style="83" customWidth="1"/>
    <col min="5" max="5" width="13.42578125" style="83" customWidth="1"/>
    <col min="6" max="6" width="13" style="83" bestFit="1" customWidth="1"/>
    <col min="7" max="7" width="13" style="83" customWidth="1"/>
    <col min="8" max="8" width="12.7109375" style="83" bestFit="1" customWidth="1"/>
    <col min="9" max="9" width="13.28515625" style="83" customWidth="1"/>
    <col min="10" max="10" width="12.7109375" style="83" customWidth="1"/>
    <col min="11" max="11" width="13.28515625" style="83" customWidth="1"/>
    <col min="12" max="13" width="13.28515625" style="54" customWidth="1"/>
    <col min="14" max="15" width="13" style="54" customWidth="1"/>
    <col min="16" max="16" width="13.28515625" style="54" customWidth="1"/>
    <col min="17" max="16384" width="11.5703125" style="54"/>
  </cols>
  <sheetData>
    <row r="1" spans="1:24" ht="21" x14ac:dyDescent="0.35">
      <c r="A1" s="165" t="str">
        <f>'Изходни данни'!A1</f>
        <v xml:space="preserve">Община </v>
      </c>
    </row>
    <row r="2" spans="1:24" ht="21" x14ac:dyDescent="0.35">
      <c r="A2" s="100" t="str">
        <f>'Изходни данни'!A2</f>
        <v>Име</v>
      </c>
    </row>
    <row r="3" spans="1:24" ht="7.5" customHeight="1" x14ac:dyDescent="0.3">
      <c r="A3" s="84"/>
      <c r="L3" s="83"/>
      <c r="M3" s="83"/>
      <c r="N3" s="83"/>
      <c r="O3" s="83"/>
      <c r="P3" s="83"/>
    </row>
    <row r="4" spans="1:24" s="82" customFormat="1" ht="21" x14ac:dyDescent="0.35">
      <c r="A4" s="167" t="s">
        <v>159</v>
      </c>
      <c r="B4" s="167"/>
      <c r="C4" s="167"/>
      <c r="D4" s="167" t="s">
        <v>176</v>
      </c>
      <c r="E4" s="167">
        <f>'Масов баланс'!E5</f>
        <v>2024</v>
      </c>
      <c r="F4" s="167">
        <f>'Масов баланс'!F5</f>
        <v>2025</v>
      </c>
      <c r="G4" s="167">
        <f>'Масов баланс'!G5</f>
        <v>2026</v>
      </c>
      <c r="H4" s="167">
        <f>'Масов баланс'!H5</f>
        <v>2027</v>
      </c>
      <c r="I4" s="167">
        <f>'Масов баланс'!I5</f>
        <v>2028</v>
      </c>
      <c r="J4" s="167">
        <f>'Масов баланс'!J5</f>
        <v>2029</v>
      </c>
      <c r="K4" s="167">
        <f>'Масов баланс'!K5</f>
        <v>2030</v>
      </c>
      <c r="L4" s="167">
        <f>'Масов баланс'!L5</f>
        <v>2031</v>
      </c>
      <c r="M4" s="167">
        <f>'Масов баланс'!M5</f>
        <v>2032</v>
      </c>
      <c r="N4" s="167">
        <f>'Масов баланс'!N5</f>
        <v>2033</v>
      </c>
      <c r="O4" s="167">
        <f>'Масов баланс'!O5</f>
        <v>2034</v>
      </c>
      <c r="P4" s="167">
        <f>'Масов баланс'!P5</f>
        <v>2035</v>
      </c>
    </row>
    <row r="5" spans="1:24" s="82" customFormat="1" x14ac:dyDescent="0.2">
      <c r="D5" s="85"/>
      <c r="E5" s="85"/>
      <c r="F5" s="85"/>
      <c r="G5" s="85"/>
      <c r="H5" s="85"/>
      <c r="I5" s="85"/>
      <c r="J5" s="85"/>
      <c r="K5" s="85"/>
      <c r="L5" s="85"/>
      <c r="M5" s="85"/>
      <c r="N5" s="85"/>
      <c r="O5" s="85"/>
      <c r="P5" s="85"/>
    </row>
    <row r="6" spans="1:24" x14ac:dyDescent="0.2">
      <c r="A6" s="82" t="s">
        <v>85</v>
      </c>
      <c r="L6" s="83"/>
      <c r="M6" s="83"/>
      <c r="N6" s="83"/>
      <c r="O6" s="83"/>
      <c r="P6" s="83"/>
    </row>
    <row r="7" spans="1:24" s="82" customFormat="1" x14ac:dyDescent="0.2">
      <c r="A7" s="82" t="s">
        <v>139</v>
      </c>
      <c r="D7" s="359" t="s">
        <v>129</v>
      </c>
      <c r="E7" s="96">
        <f>'Масов баланс'!E7+'Масов баланс'!E8</f>
        <v>35000</v>
      </c>
      <c r="F7" s="96">
        <f>'Масов баланс'!F7+'Масов баланс'!F8</f>
        <v>35000</v>
      </c>
      <c r="G7" s="96">
        <f>'Масов баланс'!G7+'Масов баланс'!G8</f>
        <v>35000</v>
      </c>
      <c r="H7" s="96">
        <f>'Масов баланс'!H7+'Масов баланс'!H8</f>
        <v>35000</v>
      </c>
      <c r="I7" s="96">
        <f>'Масов баланс'!I7+'Масов баланс'!I8</f>
        <v>35000</v>
      </c>
      <c r="J7" s="96">
        <f>'Масов баланс'!J7+'Масов баланс'!J8</f>
        <v>35000</v>
      </c>
      <c r="K7" s="96">
        <f>'Масов баланс'!K7+'Масов баланс'!K8</f>
        <v>35000</v>
      </c>
      <c r="L7" s="96">
        <f>'Масов баланс'!L7+'Масов баланс'!L8</f>
        <v>35000</v>
      </c>
      <c r="M7" s="96">
        <f>'Масов баланс'!M7+'Масов баланс'!M8</f>
        <v>35000</v>
      </c>
      <c r="N7" s="96">
        <f>'Масов баланс'!N7+'Масов баланс'!N8</f>
        <v>35000</v>
      </c>
      <c r="O7" s="96">
        <f>'Масов баланс'!O7+'Масов баланс'!O8</f>
        <v>35000</v>
      </c>
      <c r="P7" s="96">
        <f>'Масов баланс'!P7+'Масов баланс'!P8</f>
        <v>35000</v>
      </c>
      <c r="Q7" s="133"/>
      <c r="R7" s="133"/>
      <c r="S7" s="133"/>
      <c r="T7" s="133"/>
      <c r="U7" s="133"/>
      <c r="V7" s="133"/>
      <c r="W7" s="133"/>
      <c r="X7" s="133"/>
    </row>
    <row r="8" spans="1:24" x14ac:dyDescent="0.2">
      <c r="A8" s="86" t="s">
        <v>88</v>
      </c>
      <c r="C8" s="87"/>
      <c r="D8" s="359" t="s">
        <v>129</v>
      </c>
      <c r="E8" s="88">
        <f>'Масов баланс'!E307</f>
        <v>25000</v>
      </c>
      <c r="F8" s="88">
        <f>'Масов баланс'!F307</f>
        <v>25000</v>
      </c>
      <c r="G8" s="88">
        <f>'Масов баланс'!G307</f>
        <v>25000</v>
      </c>
      <c r="H8" s="88">
        <f>'Масов баланс'!H307</f>
        <v>25000</v>
      </c>
      <c r="I8" s="88">
        <f>'Масов баланс'!I307</f>
        <v>25000</v>
      </c>
      <c r="J8" s="88">
        <f>'Масов баланс'!J307</f>
        <v>25000</v>
      </c>
      <c r="K8" s="88">
        <f>'Масов баланс'!K307</f>
        <v>25000</v>
      </c>
      <c r="L8" s="88">
        <f>'Масов баланс'!L307</f>
        <v>25000</v>
      </c>
      <c r="M8" s="88">
        <f>'Масов баланс'!M307</f>
        <v>25000</v>
      </c>
      <c r="N8" s="88">
        <f>'Масов баланс'!N307</f>
        <v>25000</v>
      </c>
      <c r="O8" s="88">
        <f>'Масов баланс'!O307</f>
        <v>25000</v>
      </c>
      <c r="P8" s="88">
        <f>'Масов баланс'!P307</f>
        <v>25000</v>
      </c>
      <c r="Q8" s="89"/>
      <c r="R8" s="89"/>
      <c r="S8" s="89"/>
      <c r="T8" s="89"/>
      <c r="U8" s="89"/>
      <c r="V8" s="89"/>
      <c r="W8" s="89"/>
      <c r="X8" s="89"/>
    </row>
    <row r="9" spans="1:24" x14ac:dyDescent="0.2">
      <c r="A9" s="86" t="s">
        <v>89</v>
      </c>
      <c r="C9" s="87"/>
      <c r="D9" s="359" t="s">
        <v>129</v>
      </c>
      <c r="E9" s="88">
        <f>'Масов баланс'!E307</f>
        <v>25000</v>
      </c>
      <c r="F9" s="88">
        <f>'Масов баланс'!F307</f>
        <v>25000</v>
      </c>
      <c r="G9" s="88">
        <f>'Масов баланс'!G307</f>
        <v>25000</v>
      </c>
      <c r="H9" s="88">
        <f>'Масов баланс'!H307</f>
        <v>25000</v>
      </c>
      <c r="I9" s="88">
        <f>'Масов баланс'!I307</f>
        <v>25000</v>
      </c>
      <c r="J9" s="88">
        <f>'Масов баланс'!J307</f>
        <v>25000</v>
      </c>
      <c r="K9" s="88">
        <f>'Масов баланс'!K307</f>
        <v>25000</v>
      </c>
      <c r="L9" s="88">
        <f>'Масов баланс'!L307</f>
        <v>25000</v>
      </c>
      <c r="M9" s="88">
        <f>'Масов баланс'!M307</f>
        <v>25000</v>
      </c>
      <c r="N9" s="88">
        <f>'Масов баланс'!N307</f>
        <v>25000</v>
      </c>
      <c r="O9" s="88">
        <f>'Масов баланс'!O307</f>
        <v>25000</v>
      </c>
      <c r="P9" s="88">
        <f>'Масов баланс'!P307</f>
        <v>25000</v>
      </c>
    </row>
    <row r="10" spans="1:24" x14ac:dyDescent="0.2">
      <c r="A10" s="86" t="s">
        <v>90</v>
      </c>
      <c r="D10" s="359" t="s">
        <v>129</v>
      </c>
      <c r="E10" s="88">
        <f>'Масов баланс'!E307</f>
        <v>25000</v>
      </c>
      <c r="F10" s="88">
        <f>'Масов баланс'!F307</f>
        <v>25000</v>
      </c>
      <c r="G10" s="88">
        <f>'Масов баланс'!G307</f>
        <v>25000</v>
      </c>
      <c r="H10" s="88">
        <f>'Масов баланс'!H307</f>
        <v>25000</v>
      </c>
      <c r="I10" s="88">
        <f>'Масов баланс'!I307</f>
        <v>25000</v>
      </c>
      <c r="J10" s="88">
        <f>'Масов баланс'!J307</f>
        <v>25000</v>
      </c>
      <c r="K10" s="88">
        <f>'Масов баланс'!K307</f>
        <v>25000</v>
      </c>
      <c r="L10" s="88">
        <f>'Масов баланс'!L307</f>
        <v>25000</v>
      </c>
      <c r="M10" s="88">
        <f>'Масов баланс'!M307</f>
        <v>25000</v>
      </c>
      <c r="N10" s="88">
        <f>'Масов баланс'!N307</f>
        <v>25000</v>
      </c>
      <c r="O10" s="88">
        <f>'Масов баланс'!O307</f>
        <v>25000</v>
      </c>
      <c r="P10" s="88">
        <f>'Масов баланс'!P307</f>
        <v>25000</v>
      </c>
    </row>
    <row r="11" spans="1:24" x14ac:dyDescent="0.2">
      <c r="A11" s="86" t="s">
        <v>91</v>
      </c>
      <c r="D11" s="359" t="s">
        <v>129</v>
      </c>
      <c r="E11" s="88">
        <f>'Масов баланс'!E249</f>
        <v>10000</v>
      </c>
      <c r="F11" s="88">
        <f>'Масов баланс'!F249</f>
        <v>10000</v>
      </c>
      <c r="G11" s="88">
        <f>'Масов баланс'!G249</f>
        <v>10000</v>
      </c>
      <c r="H11" s="88">
        <f>'Масов баланс'!H249</f>
        <v>10000</v>
      </c>
      <c r="I11" s="88">
        <f>'Масов баланс'!I249</f>
        <v>10000</v>
      </c>
      <c r="J11" s="88">
        <f>'Масов баланс'!J249</f>
        <v>10000</v>
      </c>
      <c r="K11" s="88">
        <f>'Масов баланс'!K249</f>
        <v>10000</v>
      </c>
      <c r="L11" s="88">
        <f>'Масов баланс'!L249</f>
        <v>10000</v>
      </c>
      <c r="M11" s="88">
        <f>'Масов баланс'!M249</f>
        <v>10000</v>
      </c>
      <c r="N11" s="88">
        <f>'Масов баланс'!N249</f>
        <v>10000</v>
      </c>
      <c r="O11" s="88">
        <f>'Масов баланс'!O249</f>
        <v>10000</v>
      </c>
      <c r="P11" s="88">
        <f>'Масов баланс'!P249</f>
        <v>10000</v>
      </c>
    </row>
    <row r="12" spans="1:24" x14ac:dyDescent="0.2">
      <c r="A12" s="86" t="s">
        <v>92</v>
      </c>
      <c r="D12" s="359" t="s">
        <v>129</v>
      </c>
      <c r="E12" s="88">
        <f>'Масов баланс'!E249</f>
        <v>10000</v>
      </c>
      <c r="F12" s="88">
        <f>'Масов баланс'!F249</f>
        <v>10000</v>
      </c>
      <c r="G12" s="88">
        <f>'Масов баланс'!G249</f>
        <v>10000</v>
      </c>
      <c r="H12" s="88">
        <f>'Масов баланс'!H249</f>
        <v>10000</v>
      </c>
      <c r="I12" s="88">
        <f>'Масов баланс'!I249</f>
        <v>10000</v>
      </c>
      <c r="J12" s="88">
        <f>'Масов баланс'!J249</f>
        <v>10000</v>
      </c>
      <c r="K12" s="88">
        <f>'Масов баланс'!K249</f>
        <v>10000</v>
      </c>
      <c r="L12" s="88">
        <f>'Масов баланс'!L249</f>
        <v>10000</v>
      </c>
      <c r="M12" s="88">
        <f>'Масов баланс'!M249</f>
        <v>10000</v>
      </c>
      <c r="N12" s="88">
        <f>'Масов баланс'!N249</f>
        <v>10000</v>
      </c>
      <c r="O12" s="88">
        <f>'Масов баланс'!O249</f>
        <v>10000</v>
      </c>
      <c r="P12" s="88">
        <f>'Масов баланс'!P249</f>
        <v>10000</v>
      </c>
    </row>
    <row r="13" spans="1:24" x14ac:dyDescent="0.2">
      <c r="A13" s="86" t="s">
        <v>93</v>
      </c>
      <c r="D13" s="359" t="s">
        <v>129</v>
      </c>
      <c r="E13" s="88">
        <f>'Масов баланс'!E249</f>
        <v>10000</v>
      </c>
      <c r="F13" s="88">
        <f>'Масов баланс'!F249</f>
        <v>10000</v>
      </c>
      <c r="G13" s="88">
        <f>'Масов баланс'!G249</f>
        <v>10000</v>
      </c>
      <c r="H13" s="88">
        <f>'Масов баланс'!H249</f>
        <v>10000</v>
      </c>
      <c r="I13" s="88">
        <f>'Масов баланс'!I249</f>
        <v>10000</v>
      </c>
      <c r="J13" s="88">
        <f>'Масов баланс'!J249</f>
        <v>10000</v>
      </c>
      <c r="K13" s="88">
        <f>'Масов баланс'!K249</f>
        <v>10000</v>
      </c>
      <c r="L13" s="88">
        <f>'Масов баланс'!L249</f>
        <v>10000</v>
      </c>
      <c r="M13" s="88">
        <f>'Масов баланс'!M249</f>
        <v>10000</v>
      </c>
      <c r="N13" s="88">
        <f>'Масов баланс'!N249</f>
        <v>10000</v>
      </c>
      <c r="O13" s="88">
        <f>'Масов баланс'!O249</f>
        <v>10000</v>
      </c>
      <c r="P13" s="88">
        <f>'Масов баланс'!P249</f>
        <v>10000</v>
      </c>
    </row>
    <row r="14" spans="1:24" hidden="1" x14ac:dyDescent="0.2">
      <c r="A14" s="54" t="s">
        <v>140</v>
      </c>
      <c r="B14" s="88">
        <f>Допускания!C8</f>
        <v>10</v>
      </c>
      <c r="D14" s="359"/>
      <c r="E14" s="88"/>
      <c r="F14" s="88"/>
      <c r="G14" s="88"/>
      <c r="H14" s="88"/>
      <c r="I14" s="88"/>
      <c r="J14" s="88"/>
      <c r="K14" s="88"/>
      <c r="L14" s="88"/>
      <c r="M14" s="88"/>
      <c r="N14" s="88"/>
      <c r="O14" s="88"/>
      <c r="P14" s="88"/>
    </row>
    <row r="15" spans="1:24" hidden="1" x14ac:dyDescent="0.2">
      <c r="A15" s="54" t="s">
        <v>141</v>
      </c>
      <c r="B15" s="87">
        <f>Допускания!C7</f>
        <v>20</v>
      </c>
      <c r="D15" s="359"/>
      <c r="E15" s="88"/>
      <c r="F15" s="88"/>
      <c r="G15" s="88"/>
      <c r="H15" s="88"/>
      <c r="I15" s="88"/>
      <c r="J15" s="88"/>
      <c r="K15" s="88"/>
      <c r="L15" s="88"/>
      <c r="M15" s="88"/>
      <c r="N15" s="88"/>
      <c r="O15" s="88"/>
      <c r="P15" s="88"/>
    </row>
    <row r="16" spans="1:24" x14ac:dyDescent="0.2">
      <c r="D16" s="359"/>
      <c r="L16" s="83"/>
      <c r="M16" s="83"/>
      <c r="N16" s="83"/>
      <c r="O16" s="83"/>
      <c r="P16" s="83"/>
    </row>
    <row r="17" spans="1:16" ht="18.75" x14ac:dyDescent="0.3">
      <c r="A17" s="452" t="s">
        <v>217</v>
      </c>
      <c r="B17" s="452" t="str">
        <f>'Изходни данни'!A5</f>
        <v>малки населени места (до 3000 жители)</v>
      </c>
      <c r="C17" s="206"/>
      <c r="D17" s="360"/>
      <c r="E17" s="207"/>
      <c r="F17" s="207"/>
      <c r="G17" s="207"/>
      <c r="H17" s="207"/>
      <c r="I17" s="207"/>
      <c r="J17" s="207"/>
      <c r="K17" s="207"/>
      <c r="L17" s="206"/>
      <c r="M17" s="206"/>
      <c r="N17" s="206"/>
      <c r="O17" s="206"/>
      <c r="P17" s="206"/>
    </row>
    <row r="18" spans="1:16" x14ac:dyDescent="0.2">
      <c r="D18" s="359"/>
      <c r="L18" s="83"/>
      <c r="M18" s="83"/>
      <c r="N18" s="83"/>
      <c r="O18" s="83"/>
      <c r="P18" s="83"/>
    </row>
    <row r="19" spans="1:16" s="82" customFormat="1" x14ac:dyDescent="0.2">
      <c r="A19" s="208" t="s">
        <v>142</v>
      </c>
      <c r="B19" s="208"/>
      <c r="C19" s="208"/>
      <c r="D19" s="361"/>
      <c r="E19" s="209">
        <f t="shared" ref="E19:P19" si="0">E11</f>
        <v>10000</v>
      </c>
      <c r="F19" s="209">
        <f t="shared" si="0"/>
        <v>10000</v>
      </c>
      <c r="G19" s="209">
        <f t="shared" si="0"/>
        <v>10000</v>
      </c>
      <c r="H19" s="209">
        <f t="shared" si="0"/>
        <v>10000</v>
      </c>
      <c r="I19" s="209">
        <f t="shared" si="0"/>
        <v>10000</v>
      </c>
      <c r="J19" s="209">
        <f t="shared" si="0"/>
        <v>10000</v>
      </c>
      <c r="K19" s="209">
        <f t="shared" si="0"/>
        <v>10000</v>
      </c>
      <c r="L19" s="209">
        <f t="shared" si="0"/>
        <v>10000</v>
      </c>
      <c r="M19" s="209">
        <f t="shared" si="0"/>
        <v>10000</v>
      </c>
      <c r="N19" s="209">
        <f t="shared" si="0"/>
        <v>10000</v>
      </c>
      <c r="O19" s="209">
        <f t="shared" si="0"/>
        <v>10000</v>
      </c>
      <c r="P19" s="209">
        <f t="shared" si="0"/>
        <v>10000</v>
      </c>
    </row>
    <row r="20" spans="1:16" x14ac:dyDescent="0.2">
      <c r="A20" s="210"/>
      <c r="B20" s="210"/>
      <c r="C20" s="210"/>
      <c r="D20" s="356"/>
      <c r="E20" s="211"/>
      <c r="F20" s="211"/>
      <c r="G20" s="211"/>
      <c r="H20" s="211"/>
      <c r="I20" s="211"/>
      <c r="J20" s="211"/>
      <c r="K20" s="211"/>
      <c r="L20" s="211"/>
      <c r="M20" s="211"/>
      <c r="N20" s="211"/>
      <c r="O20" s="211"/>
      <c r="P20" s="211"/>
    </row>
    <row r="21" spans="1:16" x14ac:dyDescent="0.2">
      <c r="A21" s="208" t="s">
        <v>21</v>
      </c>
      <c r="B21" s="208"/>
      <c r="C21" s="208"/>
      <c r="D21" s="356" t="s">
        <v>22</v>
      </c>
      <c r="E21" s="209">
        <f t="shared" ref="E21:P21" si="1">E22+E23+E24</f>
        <v>555.48000000000013</v>
      </c>
      <c r="F21" s="209">
        <f t="shared" si="1"/>
        <v>555.48000000000013</v>
      </c>
      <c r="G21" s="209">
        <f t="shared" si="1"/>
        <v>555.48000000000013</v>
      </c>
      <c r="H21" s="209">
        <f t="shared" si="1"/>
        <v>555.48000000000013</v>
      </c>
      <c r="I21" s="209">
        <f t="shared" si="1"/>
        <v>555.48000000000013</v>
      </c>
      <c r="J21" s="209">
        <f t="shared" si="1"/>
        <v>555.48000000000013</v>
      </c>
      <c r="K21" s="209">
        <f t="shared" si="1"/>
        <v>555.48000000000013</v>
      </c>
      <c r="L21" s="209">
        <f t="shared" si="1"/>
        <v>555.48000000000013</v>
      </c>
      <c r="M21" s="209">
        <f t="shared" si="1"/>
        <v>555.48000000000013</v>
      </c>
      <c r="N21" s="209">
        <f t="shared" si="1"/>
        <v>555.48000000000013</v>
      </c>
      <c r="O21" s="209">
        <f t="shared" si="1"/>
        <v>555.48000000000013</v>
      </c>
      <c r="P21" s="209">
        <f t="shared" si="1"/>
        <v>555.48000000000013</v>
      </c>
    </row>
    <row r="22" spans="1:16" x14ac:dyDescent="0.2">
      <c r="A22" s="210" t="s">
        <v>23</v>
      </c>
      <c r="B22" s="210"/>
      <c r="C22" s="210"/>
      <c r="D22" s="356" t="s">
        <v>24</v>
      </c>
      <c r="E22" s="213">
        <f>'Масов баланс'!E287+'Масов баланс'!E289</f>
        <v>402.00000000000006</v>
      </c>
      <c r="F22" s="213">
        <f>'Масов баланс'!F287+'Масов баланс'!F289</f>
        <v>402.00000000000006</v>
      </c>
      <c r="G22" s="213">
        <f>'Масов баланс'!G287+'Масов баланс'!G289</f>
        <v>402.00000000000006</v>
      </c>
      <c r="H22" s="213">
        <f>'Масов баланс'!H287+'Масов баланс'!H289</f>
        <v>402.00000000000006</v>
      </c>
      <c r="I22" s="213">
        <f>'Масов баланс'!I287+'Масов баланс'!I289</f>
        <v>402.00000000000006</v>
      </c>
      <c r="J22" s="213">
        <f>'Масов баланс'!J287+'Масов баланс'!J289</f>
        <v>402.00000000000006</v>
      </c>
      <c r="K22" s="213">
        <f>'Масов баланс'!K287+'Масов баланс'!K289</f>
        <v>402.00000000000006</v>
      </c>
      <c r="L22" s="213">
        <f>'Масов баланс'!L287+'Масов баланс'!L289</f>
        <v>402.00000000000006</v>
      </c>
      <c r="M22" s="213">
        <f>'Масов баланс'!M287+'Масов баланс'!M289</f>
        <v>402.00000000000006</v>
      </c>
      <c r="N22" s="213">
        <f>'Масов баланс'!N287+'Масов баланс'!N289</f>
        <v>402.00000000000006</v>
      </c>
      <c r="O22" s="213">
        <f>'Масов баланс'!O287+'Масов баланс'!O289</f>
        <v>402.00000000000006</v>
      </c>
      <c r="P22" s="213">
        <f>'Масов баланс'!P287+'Масов баланс'!P289</f>
        <v>402.00000000000006</v>
      </c>
    </row>
    <row r="23" spans="1:16" x14ac:dyDescent="0.2">
      <c r="A23" s="353" t="s">
        <v>199</v>
      </c>
      <c r="B23" s="210"/>
      <c r="C23" s="210"/>
      <c r="D23" s="356" t="s">
        <v>24</v>
      </c>
      <c r="E23" s="213">
        <f>'Масов баланс'!E288</f>
        <v>60.900000000000006</v>
      </c>
      <c r="F23" s="213">
        <f>'Масов баланс'!F288</f>
        <v>60.900000000000006</v>
      </c>
      <c r="G23" s="213">
        <f>'Масов баланс'!G288</f>
        <v>60.900000000000006</v>
      </c>
      <c r="H23" s="213">
        <f>'Масов баланс'!H288</f>
        <v>60.900000000000006</v>
      </c>
      <c r="I23" s="213">
        <f>'Масов баланс'!I288</f>
        <v>60.900000000000006</v>
      </c>
      <c r="J23" s="213">
        <f>'Масов баланс'!J288</f>
        <v>60.900000000000006</v>
      </c>
      <c r="K23" s="213">
        <f>'Масов баланс'!K288</f>
        <v>60.900000000000006</v>
      </c>
      <c r="L23" s="213">
        <f>'Масов баланс'!L288</f>
        <v>60.900000000000006</v>
      </c>
      <c r="M23" s="213">
        <f>'Масов баланс'!M288</f>
        <v>60.900000000000006</v>
      </c>
      <c r="N23" s="213">
        <f>'Масов баланс'!N288</f>
        <v>60.900000000000006</v>
      </c>
      <c r="O23" s="213">
        <f>'Масов баланс'!O288</f>
        <v>60.900000000000006</v>
      </c>
      <c r="P23" s="213">
        <f>'Масов баланс'!P288</f>
        <v>60.900000000000006</v>
      </c>
    </row>
    <row r="24" spans="1:16" x14ac:dyDescent="0.2">
      <c r="A24" s="353" t="s">
        <v>191</v>
      </c>
      <c r="B24" s="210"/>
      <c r="C24" s="210"/>
      <c r="D24" s="356" t="s">
        <v>24</v>
      </c>
      <c r="E24" s="213">
        <f>'Масов баланс'!E291</f>
        <v>92.580000000000013</v>
      </c>
      <c r="F24" s="213">
        <f>'Масов баланс'!F291</f>
        <v>92.580000000000013</v>
      </c>
      <c r="G24" s="213">
        <f>'Масов баланс'!G291</f>
        <v>92.580000000000013</v>
      </c>
      <c r="H24" s="213">
        <f>'Масов баланс'!H291</f>
        <v>92.580000000000013</v>
      </c>
      <c r="I24" s="213">
        <f>'Масов баланс'!I291</f>
        <v>92.580000000000013</v>
      </c>
      <c r="J24" s="213">
        <f>'Масов баланс'!J291</f>
        <v>92.580000000000013</v>
      </c>
      <c r="K24" s="213">
        <f>'Масов баланс'!K291</f>
        <v>92.580000000000013</v>
      </c>
      <c r="L24" s="213">
        <f>'Масов баланс'!L291</f>
        <v>92.580000000000013</v>
      </c>
      <c r="M24" s="213">
        <f>'Масов баланс'!M291</f>
        <v>92.580000000000013</v>
      </c>
      <c r="N24" s="213">
        <f>'Масов баланс'!N291</f>
        <v>92.580000000000013</v>
      </c>
      <c r="O24" s="213">
        <f>'Масов баланс'!O291</f>
        <v>92.580000000000013</v>
      </c>
      <c r="P24" s="213">
        <f>'Масов баланс'!P291</f>
        <v>92.580000000000013</v>
      </c>
    </row>
    <row r="25" spans="1:16" x14ac:dyDescent="0.2">
      <c r="A25" s="210" t="s">
        <v>25</v>
      </c>
      <c r="B25" s="210"/>
      <c r="C25" s="210"/>
      <c r="D25" s="356"/>
      <c r="E25" s="214">
        <f t="shared" ref="E25:P25" si="2">IF(E21&lt;1,0,E23/E21)</f>
        <v>0.10963491034780729</v>
      </c>
      <c r="F25" s="214">
        <f t="shared" si="2"/>
        <v>0.10963491034780729</v>
      </c>
      <c r="G25" s="214">
        <f t="shared" si="2"/>
        <v>0.10963491034780729</v>
      </c>
      <c r="H25" s="214">
        <f t="shared" si="2"/>
        <v>0.10963491034780729</v>
      </c>
      <c r="I25" s="214">
        <f t="shared" si="2"/>
        <v>0.10963491034780729</v>
      </c>
      <c r="J25" s="214">
        <f t="shared" si="2"/>
        <v>0.10963491034780729</v>
      </c>
      <c r="K25" s="214">
        <f t="shared" si="2"/>
        <v>0.10963491034780729</v>
      </c>
      <c r="L25" s="214">
        <f t="shared" si="2"/>
        <v>0.10963491034780729</v>
      </c>
      <c r="M25" s="214">
        <f t="shared" si="2"/>
        <v>0.10963491034780729</v>
      </c>
      <c r="N25" s="214">
        <f t="shared" si="2"/>
        <v>0.10963491034780729</v>
      </c>
      <c r="O25" s="214">
        <f t="shared" si="2"/>
        <v>0.10963491034780729</v>
      </c>
      <c r="P25" s="214">
        <f t="shared" si="2"/>
        <v>0.10963491034780729</v>
      </c>
    </row>
    <row r="26" spans="1:16" x14ac:dyDescent="0.2">
      <c r="A26" s="210"/>
      <c r="B26" s="215"/>
      <c r="C26" s="210"/>
      <c r="D26" s="362"/>
      <c r="E26" s="213"/>
      <c r="F26" s="213"/>
      <c r="G26" s="213"/>
      <c r="H26" s="213"/>
      <c r="I26" s="213"/>
      <c r="J26" s="213"/>
      <c r="K26" s="213"/>
      <c r="L26" s="213"/>
      <c r="M26" s="216"/>
      <c r="N26" s="216"/>
      <c r="O26" s="211"/>
      <c r="P26" s="211"/>
    </row>
    <row r="27" spans="1:16" s="82" customFormat="1" x14ac:dyDescent="0.2">
      <c r="A27" s="208" t="s">
        <v>26</v>
      </c>
      <c r="B27" s="208"/>
      <c r="C27" s="208"/>
      <c r="D27" s="356"/>
      <c r="E27" s="209"/>
      <c r="F27" s="209"/>
      <c r="G27" s="209"/>
      <c r="H27" s="209"/>
      <c r="I27" s="209"/>
      <c r="J27" s="209"/>
      <c r="K27" s="209"/>
      <c r="L27" s="217"/>
      <c r="M27" s="217"/>
      <c r="N27" s="217"/>
      <c r="O27" s="212"/>
      <c r="P27" s="212"/>
    </row>
    <row r="28" spans="1:16" x14ac:dyDescent="0.2">
      <c r="A28" s="210" t="s">
        <v>27</v>
      </c>
      <c r="B28" s="210"/>
      <c r="C28" s="210"/>
      <c r="D28" s="356" t="s">
        <v>28</v>
      </c>
      <c r="E28" s="210">
        <f>Допускания!C14</f>
        <v>5</v>
      </c>
      <c r="F28" s="210">
        <f t="shared" ref="F28:P28" si="3">+E28</f>
        <v>5</v>
      </c>
      <c r="G28" s="210">
        <f t="shared" si="3"/>
        <v>5</v>
      </c>
      <c r="H28" s="210">
        <f t="shared" si="3"/>
        <v>5</v>
      </c>
      <c r="I28" s="210">
        <f t="shared" si="3"/>
        <v>5</v>
      </c>
      <c r="J28" s="210">
        <f t="shared" si="3"/>
        <v>5</v>
      </c>
      <c r="K28" s="210">
        <f t="shared" si="3"/>
        <v>5</v>
      </c>
      <c r="L28" s="210">
        <f t="shared" si="3"/>
        <v>5</v>
      </c>
      <c r="M28" s="210">
        <f t="shared" si="3"/>
        <v>5</v>
      </c>
      <c r="N28" s="210">
        <f t="shared" si="3"/>
        <v>5</v>
      </c>
      <c r="O28" s="210">
        <f t="shared" si="3"/>
        <v>5</v>
      </c>
      <c r="P28" s="210">
        <f t="shared" si="3"/>
        <v>5</v>
      </c>
    </row>
    <row r="29" spans="1:16" x14ac:dyDescent="0.2">
      <c r="A29" s="210" t="s">
        <v>29</v>
      </c>
      <c r="B29" s="210"/>
      <c r="C29" s="210"/>
      <c r="D29" s="356" t="s">
        <v>30</v>
      </c>
      <c r="E29" s="210">
        <f>Допускания!C15</f>
        <v>8</v>
      </c>
      <c r="F29" s="210">
        <f t="shared" ref="F29:P29" si="4">+E29</f>
        <v>8</v>
      </c>
      <c r="G29" s="210">
        <f t="shared" si="4"/>
        <v>8</v>
      </c>
      <c r="H29" s="210">
        <f t="shared" si="4"/>
        <v>8</v>
      </c>
      <c r="I29" s="210">
        <f t="shared" si="4"/>
        <v>8</v>
      </c>
      <c r="J29" s="210">
        <f t="shared" si="4"/>
        <v>8</v>
      </c>
      <c r="K29" s="210">
        <f t="shared" si="4"/>
        <v>8</v>
      </c>
      <c r="L29" s="210">
        <f t="shared" si="4"/>
        <v>8</v>
      </c>
      <c r="M29" s="210">
        <f t="shared" si="4"/>
        <v>8</v>
      </c>
      <c r="N29" s="210">
        <f t="shared" si="4"/>
        <v>8</v>
      </c>
      <c r="O29" s="210">
        <f t="shared" si="4"/>
        <v>8</v>
      </c>
      <c r="P29" s="210">
        <f t="shared" si="4"/>
        <v>8</v>
      </c>
    </row>
    <row r="30" spans="1:16" x14ac:dyDescent="0.2">
      <c r="A30" s="210" t="s">
        <v>31</v>
      </c>
      <c r="B30" s="210"/>
      <c r="C30" s="210"/>
      <c r="D30" s="356" t="s">
        <v>32</v>
      </c>
      <c r="E30" s="210">
        <f>Допускания!C16</f>
        <v>1</v>
      </c>
      <c r="F30" s="210">
        <f t="shared" ref="F30:P30" si="5">+E30</f>
        <v>1</v>
      </c>
      <c r="G30" s="210">
        <f t="shared" si="5"/>
        <v>1</v>
      </c>
      <c r="H30" s="210">
        <f t="shared" si="5"/>
        <v>1</v>
      </c>
      <c r="I30" s="210">
        <f t="shared" si="5"/>
        <v>1</v>
      </c>
      <c r="J30" s="210">
        <f t="shared" si="5"/>
        <v>1</v>
      </c>
      <c r="K30" s="210">
        <f t="shared" si="5"/>
        <v>1</v>
      </c>
      <c r="L30" s="210">
        <f t="shared" si="5"/>
        <v>1</v>
      </c>
      <c r="M30" s="210">
        <f t="shared" si="5"/>
        <v>1</v>
      </c>
      <c r="N30" s="210">
        <f t="shared" si="5"/>
        <v>1</v>
      </c>
      <c r="O30" s="210">
        <f t="shared" si="5"/>
        <v>1</v>
      </c>
      <c r="P30" s="210">
        <f t="shared" si="5"/>
        <v>1</v>
      </c>
    </row>
    <row r="31" spans="1:16" x14ac:dyDescent="0.2">
      <c r="A31" s="210"/>
      <c r="B31" s="210"/>
      <c r="C31" s="210"/>
      <c r="D31" s="356"/>
      <c r="E31" s="210"/>
      <c r="F31" s="210"/>
      <c r="G31" s="210"/>
      <c r="H31" s="210"/>
      <c r="I31" s="210"/>
      <c r="J31" s="210"/>
      <c r="K31" s="210"/>
      <c r="L31" s="210"/>
      <c r="M31" s="210"/>
      <c r="N31" s="210"/>
      <c r="O31" s="210"/>
      <c r="P31" s="210"/>
    </row>
    <row r="32" spans="1:16" x14ac:dyDescent="0.2">
      <c r="A32" s="208" t="s">
        <v>33</v>
      </c>
      <c r="B32" s="210"/>
      <c r="C32" s="210"/>
      <c r="D32" s="356"/>
      <c r="E32" s="210"/>
      <c r="F32" s="210"/>
      <c r="G32" s="210"/>
      <c r="H32" s="210"/>
      <c r="I32" s="210"/>
      <c r="J32" s="210"/>
      <c r="K32" s="210"/>
      <c r="L32" s="210"/>
      <c r="M32" s="210"/>
      <c r="N32" s="210"/>
      <c r="O32" s="210"/>
      <c r="P32" s="210"/>
    </row>
    <row r="33" spans="1:16" x14ac:dyDescent="0.2">
      <c r="A33" s="353" t="s">
        <v>179</v>
      </c>
      <c r="B33" s="210"/>
      <c r="C33" s="210"/>
      <c r="D33" s="356" t="s">
        <v>34</v>
      </c>
      <c r="E33" s="218">
        <f>Допускания!C18</f>
        <v>46</v>
      </c>
      <c r="F33" s="218">
        <f t="shared" ref="F33:P33" si="6">+E33</f>
        <v>46</v>
      </c>
      <c r="G33" s="218">
        <f t="shared" si="6"/>
        <v>46</v>
      </c>
      <c r="H33" s="218">
        <f t="shared" si="6"/>
        <v>46</v>
      </c>
      <c r="I33" s="218">
        <f t="shared" si="6"/>
        <v>46</v>
      </c>
      <c r="J33" s="218">
        <f t="shared" si="6"/>
        <v>46</v>
      </c>
      <c r="K33" s="218">
        <f t="shared" si="6"/>
        <v>46</v>
      </c>
      <c r="L33" s="218">
        <f t="shared" si="6"/>
        <v>46</v>
      </c>
      <c r="M33" s="218">
        <f t="shared" si="6"/>
        <v>46</v>
      </c>
      <c r="N33" s="218">
        <f t="shared" si="6"/>
        <v>46</v>
      </c>
      <c r="O33" s="218">
        <f t="shared" si="6"/>
        <v>46</v>
      </c>
      <c r="P33" s="218">
        <f t="shared" si="6"/>
        <v>46</v>
      </c>
    </row>
    <row r="34" spans="1:16" x14ac:dyDescent="0.2">
      <c r="A34" s="353" t="s">
        <v>27</v>
      </c>
      <c r="B34" s="210"/>
      <c r="C34" s="210"/>
      <c r="D34" s="356" t="s">
        <v>28</v>
      </c>
      <c r="E34" s="218">
        <f>Допускания!C19</f>
        <v>5</v>
      </c>
      <c r="F34" s="218">
        <f t="shared" ref="F34:P34" si="7">+E34</f>
        <v>5</v>
      </c>
      <c r="G34" s="218">
        <f t="shared" si="7"/>
        <v>5</v>
      </c>
      <c r="H34" s="218">
        <f t="shared" si="7"/>
        <v>5</v>
      </c>
      <c r="I34" s="218">
        <f t="shared" si="7"/>
        <v>5</v>
      </c>
      <c r="J34" s="218">
        <f t="shared" si="7"/>
        <v>5</v>
      </c>
      <c r="K34" s="218">
        <f t="shared" si="7"/>
        <v>5</v>
      </c>
      <c r="L34" s="218">
        <f t="shared" si="7"/>
        <v>5</v>
      </c>
      <c r="M34" s="218">
        <f t="shared" si="7"/>
        <v>5</v>
      </c>
      <c r="N34" s="218">
        <f t="shared" si="7"/>
        <v>5</v>
      </c>
      <c r="O34" s="218">
        <f t="shared" si="7"/>
        <v>5</v>
      </c>
      <c r="P34" s="218">
        <f t="shared" si="7"/>
        <v>5</v>
      </c>
    </row>
    <row r="35" spans="1:16" x14ac:dyDescent="0.2">
      <c r="A35" s="210" t="s">
        <v>35</v>
      </c>
      <c r="B35" s="210"/>
      <c r="C35" s="210"/>
      <c r="D35" s="356" t="s">
        <v>19</v>
      </c>
      <c r="E35" s="219">
        <f>Допускания!C20</f>
        <v>0.05</v>
      </c>
      <c r="F35" s="220">
        <f t="shared" ref="F35:P35" si="8">+E35</f>
        <v>0.05</v>
      </c>
      <c r="G35" s="220">
        <f t="shared" si="8"/>
        <v>0.05</v>
      </c>
      <c r="H35" s="220">
        <f t="shared" si="8"/>
        <v>0.05</v>
      </c>
      <c r="I35" s="220">
        <f t="shared" si="8"/>
        <v>0.05</v>
      </c>
      <c r="J35" s="220">
        <f t="shared" si="8"/>
        <v>0.05</v>
      </c>
      <c r="K35" s="220">
        <f t="shared" si="8"/>
        <v>0.05</v>
      </c>
      <c r="L35" s="220">
        <f t="shared" si="8"/>
        <v>0.05</v>
      </c>
      <c r="M35" s="220">
        <f t="shared" si="8"/>
        <v>0.05</v>
      </c>
      <c r="N35" s="220">
        <f t="shared" si="8"/>
        <v>0.05</v>
      </c>
      <c r="O35" s="220">
        <f t="shared" si="8"/>
        <v>0.05</v>
      </c>
      <c r="P35" s="220">
        <f t="shared" si="8"/>
        <v>0.05</v>
      </c>
    </row>
    <row r="36" spans="1:16" x14ac:dyDescent="0.2">
      <c r="A36" s="210" t="s">
        <v>36</v>
      </c>
      <c r="B36" s="210"/>
      <c r="C36" s="210"/>
      <c r="D36" s="356" t="s">
        <v>37</v>
      </c>
      <c r="E36" s="210">
        <f t="shared" ref="E36:P36" si="9">+E33*E34*(1-E35)</f>
        <v>218.5</v>
      </c>
      <c r="F36" s="210">
        <f t="shared" si="9"/>
        <v>218.5</v>
      </c>
      <c r="G36" s="210">
        <f t="shared" si="9"/>
        <v>218.5</v>
      </c>
      <c r="H36" s="210">
        <f t="shared" si="9"/>
        <v>218.5</v>
      </c>
      <c r="I36" s="210">
        <f t="shared" si="9"/>
        <v>218.5</v>
      </c>
      <c r="J36" s="210">
        <f t="shared" si="9"/>
        <v>218.5</v>
      </c>
      <c r="K36" s="210">
        <f t="shared" si="9"/>
        <v>218.5</v>
      </c>
      <c r="L36" s="210">
        <f t="shared" si="9"/>
        <v>218.5</v>
      </c>
      <c r="M36" s="210">
        <f t="shared" si="9"/>
        <v>218.5</v>
      </c>
      <c r="N36" s="210">
        <f t="shared" si="9"/>
        <v>218.5</v>
      </c>
      <c r="O36" s="210">
        <f t="shared" si="9"/>
        <v>218.5</v>
      </c>
      <c r="P36" s="210">
        <f t="shared" si="9"/>
        <v>218.5</v>
      </c>
    </row>
    <row r="37" spans="1:16" x14ac:dyDescent="0.2">
      <c r="A37" s="210" t="s">
        <v>27</v>
      </c>
      <c r="B37" s="210"/>
      <c r="C37" s="210"/>
      <c r="D37" s="356" t="s">
        <v>28</v>
      </c>
      <c r="E37" s="210">
        <f t="shared" ref="E37:P37" si="10">+E28</f>
        <v>5</v>
      </c>
      <c r="F37" s="210">
        <f t="shared" si="10"/>
        <v>5</v>
      </c>
      <c r="G37" s="210">
        <f t="shared" si="10"/>
        <v>5</v>
      </c>
      <c r="H37" s="210">
        <f t="shared" si="10"/>
        <v>5</v>
      </c>
      <c r="I37" s="210">
        <f t="shared" si="10"/>
        <v>5</v>
      </c>
      <c r="J37" s="210">
        <f t="shared" si="10"/>
        <v>5</v>
      </c>
      <c r="K37" s="210">
        <f t="shared" si="10"/>
        <v>5</v>
      </c>
      <c r="L37" s="210">
        <f t="shared" si="10"/>
        <v>5</v>
      </c>
      <c r="M37" s="210">
        <f t="shared" si="10"/>
        <v>5</v>
      </c>
      <c r="N37" s="210">
        <f t="shared" si="10"/>
        <v>5</v>
      </c>
      <c r="O37" s="210">
        <f t="shared" si="10"/>
        <v>5</v>
      </c>
      <c r="P37" s="210">
        <f t="shared" si="10"/>
        <v>5</v>
      </c>
    </row>
    <row r="38" spans="1:16" x14ac:dyDescent="0.2">
      <c r="A38" s="210" t="s">
        <v>38</v>
      </c>
      <c r="B38" s="210"/>
      <c r="C38" s="210"/>
      <c r="D38" s="356" t="s">
        <v>37</v>
      </c>
      <c r="E38" s="210">
        <f t="shared" ref="E38:P38" si="11">52*E37</f>
        <v>260</v>
      </c>
      <c r="F38" s="210">
        <f t="shared" si="11"/>
        <v>260</v>
      </c>
      <c r="G38" s="210">
        <f t="shared" si="11"/>
        <v>260</v>
      </c>
      <c r="H38" s="210">
        <f t="shared" si="11"/>
        <v>260</v>
      </c>
      <c r="I38" s="210">
        <f t="shared" si="11"/>
        <v>260</v>
      </c>
      <c r="J38" s="210">
        <f t="shared" si="11"/>
        <v>260</v>
      </c>
      <c r="K38" s="210">
        <f t="shared" si="11"/>
        <v>260</v>
      </c>
      <c r="L38" s="210">
        <f t="shared" si="11"/>
        <v>260</v>
      </c>
      <c r="M38" s="210">
        <f t="shared" si="11"/>
        <v>260</v>
      </c>
      <c r="N38" s="210">
        <f t="shared" si="11"/>
        <v>260</v>
      </c>
      <c r="O38" s="210">
        <f t="shared" si="11"/>
        <v>260</v>
      </c>
      <c r="P38" s="210">
        <f t="shared" si="11"/>
        <v>260</v>
      </c>
    </row>
    <row r="39" spans="1:16" x14ac:dyDescent="0.2">
      <c r="A39" s="210" t="s">
        <v>39</v>
      </c>
      <c r="B39" s="210"/>
      <c r="C39" s="210"/>
      <c r="D39" s="356"/>
      <c r="E39" s="220">
        <f t="shared" ref="E39:P39" si="12">+E38/E36</f>
        <v>1.1899313501144164</v>
      </c>
      <c r="F39" s="220">
        <f t="shared" si="12"/>
        <v>1.1899313501144164</v>
      </c>
      <c r="G39" s="220">
        <f t="shared" si="12"/>
        <v>1.1899313501144164</v>
      </c>
      <c r="H39" s="220">
        <f t="shared" si="12"/>
        <v>1.1899313501144164</v>
      </c>
      <c r="I39" s="220">
        <f t="shared" si="12"/>
        <v>1.1899313501144164</v>
      </c>
      <c r="J39" s="220">
        <f t="shared" si="12"/>
        <v>1.1899313501144164</v>
      </c>
      <c r="K39" s="220">
        <f t="shared" si="12"/>
        <v>1.1899313501144164</v>
      </c>
      <c r="L39" s="220">
        <f t="shared" si="12"/>
        <v>1.1899313501144164</v>
      </c>
      <c r="M39" s="220">
        <f t="shared" si="12"/>
        <v>1.1899313501144164</v>
      </c>
      <c r="N39" s="220">
        <f t="shared" si="12"/>
        <v>1.1899313501144164</v>
      </c>
      <c r="O39" s="220">
        <f t="shared" si="12"/>
        <v>1.1899313501144164</v>
      </c>
      <c r="P39" s="220">
        <f t="shared" si="12"/>
        <v>1.1899313501144164</v>
      </c>
    </row>
    <row r="40" spans="1:16" x14ac:dyDescent="0.2">
      <c r="A40" s="210"/>
      <c r="B40" s="210"/>
      <c r="C40" s="210"/>
      <c r="D40" s="356"/>
      <c r="E40" s="211"/>
      <c r="F40" s="211"/>
      <c r="G40" s="211"/>
      <c r="H40" s="211"/>
      <c r="I40" s="211"/>
      <c r="J40" s="211"/>
      <c r="K40" s="211"/>
      <c r="L40" s="210"/>
      <c r="M40" s="210"/>
      <c r="N40" s="210"/>
      <c r="O40" s="210"/>
      <c r="P40" s="210"/>
    </row>
    <row r="41" spans="1:16" x14ac:dyDescent="0.2">
      <c r="A41" s="208" t="s">
        <v>40</v>
      </c>
      <c r="B41" s="210"/>
      <c r="C41" s="210"/>
      <c r="D41" s="356"/>
      <c r="E41" s="218"/>
      <c r="F41" s="218"/>
      <c r="G41" s="218"/>
      <c r="H41" s="218"/>
      <c r="I41" s="218"/>
      <c r="J41" s="218"/>
      <c r="K41" s="218"/>
      <c r="L41" s="218"/>
      <c r="M41" s="218"/>
      <c r="N41" s="218"/>
      <c r="O41" s="218"/>
      <c r="P41" s="218"/>
    </row>
    <row r="42" spans="1:16" x14ac:dyDescent="0.2">
      <c r="A42" s="210" t="s">
        <v>143</v>
      </c>
      <c r="B42" s="210"/>
      <c r="C42" s="210"/>
      <c r="D42" s="356" t="s">
        <v>41</v>
      </c>
      <c r="E42" s="216">
        <f>'Масов баланс'!E284</f>
        <v>9.1666666666666674E-2</v>
      </c>
      <c r="F42" s="216">
        <f>'Масов баланс'!F284</f>
        <v>9.1666666666666674E-2</v>
      </c>
      <c r="G42" s="216">
        <f>'Масов баланс'!G284</f>
        <v>9.1666666666666674E-2</v>
      </c>
      <c r="H42" s="216">
        <f>'Масов баланс'!H284</f>
        <v>9.1666666666666674E-2</v>
      </c>
      <c r="I42" s="216">
        <f>'Масов баланс'!I284</f>
        <v>9.1666666666666674E-2</v>
      </c>
      <c r="J42" s="216">
        <f>'Масов баланс'!J284</f>
        <v>9.1666666666666674E-2</v>
      </c>
      <c r="K42" s="216">
        <f>'Масов баланс'!K284</f>
        <v>9.1666666666666674E-2</v>
      </c>
      <c r="L42" s="216">
        <f>'Масов баланс'!L284</f>
        <v>9.1666666666666674E-2</v>
      </c>
      <c r="M42" s="216">
        <f>'Масов баланс'!M284</f>
        <v>9.1666666666666674E-2</v>
      </c>
      <c r="N42" s="216">
        <f>'Масов баланс'!N284</f>
        <v>9.1666666666666674E-2</v>
      </c>
      <c r="O42" s="216">
        <f>'Масов баланс'!O284</f>
        <v>9.1666666666666674E-2</v>
      </c>
      <c r="P42" s="216">
        <f>'Масов баланс'!P284</f>
        <v>9.1666666666666674E-2</v>
      </c>
    </row>
    <row r="43" spans="1:16" ht="15" x14ac:dyDescent="0.2">
      <c r="A43" s="210" t="s">
        <v>144</v>
      </c>
      <c r="B43" s="210"/>
      <c r="C43" s="210"/>
      <c r="D43" s="356" t="s">
        <v>202</v>
      </c>
      <c r="E43" s="221">
        <f t="shared" ref="E43:P43" si="13">IF(E21=0,0,E21/E42)</f>
        <v>6059.7818181818193</v>
      </c>
      <c r="F43" s="221">
        <f t="shared" si="13"/>
        <v>6059.7818181818193</v>
      </c>
      <c r="G43" s="221">
        <f t="shared" si="13"/>
        <v>6059.7818181818193</v>
      </c>
      <c r="H43" s="221">
        <f t="shared" si="13"/>
        <v>6059.7818181818193</v>
      </c>
      <c r="I43" s="221">
        <f t="shared" si="13"/>
        <v>6059.7818181818193</v>
      </c>
      <c r="J43" s="221">
        <f t="shared" si="13"/>
        <v>6059.7818181818193</v>
      </c>
      <c r="K43" s="221">
        <f t="shared" si="13"/>
        <v>6059.7818181818193</v>
      </c>
      <c r="L43" s="221">
        <f t="shared" si="13"/>
        <v>6059.7818181818193</v>
      </c>
      <c r="M43" s="221">
        <f t="shared" si="13"/>
        <v>6059.7818181818193</v>
      </c>
      <c r="N43" s="221">
        <f t="shared" si="13"/>
        <v>6059.7818181818193</v>
      </c>
      <c r="O43" s="221">
        <f t="shared" si="13"/>
        <v>6059.7818181818193</v>
      </c>
      <c r="P43" s="221">
        <f t="shared" si="13"/>
        <v>6059.7818181818193</v>
      </c>
    </row>
    <row r="44" spans="1:16" ht="15" x14ac:dyDescent="0.2">
      <c r="A44" s="210" t="s">
        <v>42</v>
      </c>
      <c r="B44" s="210"/>
      <c r="C44" s="210"/>
      <c r="D44" s="356" t="s">
        <v>203</v>
      </c>
      <c r="E44" s="210">
        <f>Допускания!C24</f>
        <v>1.1000000000000001</v>
      </c>
      <c r="F44" s="210">
        <f t="shared" ref="F44:P44" si="14">+E44</f>
        <v>1.1000000000000001</v>
      </c>
      <c r="G44" s="210">
        <f t="shared" si="14"/>
        <v>1.1000000000000001</v>
      </c>
      <c r="H44" s="210">
        <f t="shared" si="14"/>
        <v>1.1000000000000001</v>
      </c>
      <c r="I44" s="210">
        <f t="shared" si="14"/>
        <v>1.1000000000000001</v>
      </c>
      <c r="J44" s="210">
        <f t="shared" si="14"/>
        <v>1.1000000000000001</v>
      </c>
      <c r="K44" s="210">
        <f t="shared" si="14"/>
        <v>1.1000000000000001</v>
      </c>
      <c r="L44" s="210">
        <f t="shared" si="14"/>
        <v>1.1000000000000001</v>
      </c>
      <c r="M44" s="210">
        <f t="shared" si="14"/>
        <v>1.1000000000000001</v>
      </c>
      <c r="N44" s="210">
        <f t="shared" si="14"/>
        <v>1.1000000000000001</v>
      </c>
      <c r="O44" s="210">
        <f t="shared" si="14"/>
        <v>1.1000000000000001</v>
      </c>
      <c r="P44" s="210">
        <f t="shared" si="14"/>
        <v>1.1000000000000001</v>
      </c>
    </row>
    <row r="45" spans="1:16" x14ac:dyDescent="0.2">
      <c r="A45" s="210" t="s">
        <v>44</v>
      </c>
      <c r="B45" s="210"/>
      <c r="C45" s="210"/>
      <c r="D45" s="356" t="s">
        <v>45</v>
      </c>
      <c r="E45" s="210">
        <f>Допускания!C31</f>
        <v>52</v>
      </c>
      <c r="F45" s="210">
        <f t="shared" ref="F45:P45" si="15">+E45</f>
        <v>52</v>
      </c>
      <c r="G45" s="210">
        <f t="shared" si="15"/>
        <v>52</v>
      </c>
      <c r="H45" s="210">
        <f t="shared" si="15"/>
        <v>52</v>
      </c>
      <c r="I45" s="210">
        <f t="shared" si="15"/>
        <v>52</v>
      </c>
      <c r="J45" s="210">
        <f t="shared" si="15"/>
        <v>52</v>
      </c>
      <c r="K45" s="210">
        <f t="shared" si="15"/>
        <v>52</v>
      </c>
      <c r="L45" s="210">
        <f t="shared" si="15"/>
        <v>52</v>
      </c>
      <c r="M45" s="210">
        <f t="shared" si="15"/>
        <v>52</v>
      </c>
      <c r="N45" s="210">
        <f t="shared" si="15"/>
        <v>52</v>
      </c>
      <c r="O45" s="210">
        <f t="shared" si="15"/>
        <v>52</v>
      </c>
      <c r="P45" s="210">
        <f t="shared" si="15"/>
        <v>52</v>
      </c>
    </row>
    <row r="46" spans="1:16" x14ac:dyDescent="0.2">
      <c r="A46" s="210" t="s">
        <v>46</v>
      </c>
      <c r="B46" s="210"/>
      <c r="C46" s="210"/>
      <c r="D46" s="356" t="s">
        <v>19</v>
      </c>
      <c r="E46" s="219">
        <f>Допускания!C40</f>
        <v>0.9</v>
      </c>
      <c r="F46" s="219">
        <f t="shared" ref="F46:P46" si="16">E46</f>
        <v>0.9</v>
      </c>
      <c r="G46" s="219">
        <f t="shared" si="16"/>
        <v>0.9</v>
      </c>
      <c r="H46" s="219">
        <f t="shared" si="16"/>
        <v>0.9</v>
      </c>
      <c r="I46" s="219">
        <f t="shared" si="16"/>
        <v>0.9</v>
      </c>
      <c r="J46" s="219">
        <f t="shared" si="16"/>
        <v>0.9</v>
      </c>
      <c r="K46" s="219">
        <f t="shared" si="16"/>
        <v>0.9</v>
      </c>
      <c r="L46" s="219">
        <f t="shared" si="16"/>
        <v>0.9</v>
      </c>
      <c r="M46" s="219">
        <f t="shared" si="16"/>
        <v>0.9</v>
      </c>
      <c r="N46" s="219">
        <f t="shared" si="16"/>
        <v>0.9</v>
      </c>
      <c r="O46" s="219">
        <f t="shared" si="16"/>
        <v>0.9</v>
      </c>
      <c r="P46" s="219">
        <f t="shared" si="16"/>
        <v>0.9</v>
      </c>
    </row>
    <row r="47" spans="1:16" x14ac:dyDescent="0.2">
      <c r="A47" s="353" t="s">
        <v>192</v>
      </c>
      <c r="B47" s="210"/>
      <c r="C47" s="210"/>
      <c r="D47" s="356"/>
      <c r="E47" s="354">
        <v>1.2</v>
      </c>
      <c r="F47" s="210">
        <f>E47</f>
        <v>1.2</v>
      </c>
      <c r="G47" s="210">
        <f t="shared" ref="G47:P47" si="17">F47</f>
        <v>1.2</v>
      </c>
      <c r="H47" s="210">
        <f t="shared" si="17"/>
        <v>1.2</v>
      </c>
      <c r="I47" s="210">
        <f t="shared" si="17"/>
        <v>1.2</v>
      </c>
      <c r="J47" s="210">
        <f t="shared" si="17"/>
        <v>1.2</v>
      </c>
      <c r="K47" s="210">
        <f t="shared" si="17"/>
        <v>1.2</v>
      </c>
      <c r="L47" s="210">
        <f t="shared" si="17"/>
        <v>1.2</v>
      </c>
      <c r="M47" s="210">
        <f t="shared" si="17"/>
        <v>1.2</v>
      </c>
      <c r="N47" s="210">
        <f t="shared" si="17"/>
        <v>1.2</v>
      </c>
      <c r="O47" s="210">
        <f t="shared" si="17"/>
        <v>1.2</v>
      </c>
      <c r="P47" s="210">
        <f t="shared" si="17"/>
        <v>1.2</v>
      </c>
    </row>
    <row r="48" spans="1:16" x14ac:dyDescent="0.2">
      <c r="A48" s="210" t="s">
        <v>48</v>
      </c>
      <c r="B48" s="210"/>
      <c r="C48" s="210"/>
      <c r="D48" s="356" t="s">
        <v>49</v>
      </c>
      <c r="E48" s="210">
        <f t="shared" ref="E48:P48" si="18">IF(E21=0,0,ROUNDUP((E43/E46/E44)*E47/E45,))</f>
        <v>142</v>
      </c>
      <c r="F48" s="210">
        <f t="shared" si="18"/>
        <v>142</v>
      </c>
      <c r="G48" s="210">
        <f t="shared" si="18"/>
        <v>142</v>
      </c>
      <c r="H48" s="210">
        <f t="shared" si="18"/>
        <v>142</v>
      </c>
      <c r="I48" s="210">
        <f t="shared" si="18"/>
        <v>142</v>
      </c>
      <c r="J48" s="210">
        <f t="shared" si="18"/>
        <v>142</v>
      </c>
      <c r="K48" s="210">
        <f t="shared" si="18"/>
        <v>142</v>
      </c>
      <c r="L48" s="210">
        <f t="shared" si="18"/>
        <v>142</v>
      </c>
      <c r="M48" s="210">
        <f t="shared" si="18"/>
        <v>142</v>
      </c>
      <c r="N48" s="210">
        <f t="shared" si="18"/>
        <v>142</v>
      </c>
      <c r="O48" s="210">
        <f t="shared" si="18"/>
        <v>142</v>
      </c>
      <c r="P48" s="210">
        <f t="shared" si="18"/>
        <v>142</v>
      </c>
    </row>
    <row r="49" spans="1:16" x14ac:dyDescent="0.2">
      <c r="A49" s="353" t="s">
        <v>200</v>
      </c>
      <c r="B49" s="210"/>
      <c r="C49" s="210"/>
      <c r="D49" s="356" t="s">
        <v>49</v>
      </c>
      <c r="E49" s="210">
        <f>IF(Допускания!$C$5=3,MAX(E199,E123,E48),0)</f>
        <v>142</v>
      </c>
      <c r="F49" s="210">
        <f>IF(Допускания!$C$5=3,MAX(F199,F123,F48),0)</f>
        <v>142</v>
      </c>
      <c r="G49" s="210">
        <f>IF(Допускания!$C$5=3,MAX(G199,G123,G48),0)</f>
        <v>142</v>
      </c>
      <c r="H49" s="210">
        <f>IF(Допускания!$C$5=3,MAX(H199,H123,H48),0)</f>
        <v>142</v>
      </c>
      <c r="I49" s="210">
        <f>IF(Допускания!$C$5=3,MAX(I199,I123,I48),0)</f>
        <v>142</v>
      </c>
      <c r="J49" s="210">
        <f>IF(Допускания!$C$5=3,MAX(J199,J123,J48),0)</f>
        <v>142</v>
      </c>
      <c r="K49" s="210">
        <f>IF(Допускания!$C$5=3,MAX(K199,K123,K48),0)</f>
        <v>142</v>
      </c>
      <c r="L49" s="210">
        <f>IF(Допускания!$C$5=3,MAX(L199,L123,L48),0)</f>
        <v>142</v>
      </c>
      <c r="M49" s="210">
        <f>IF(Допускания!$C$5=3,MAX(M199,M123,M48),0)</f>
        <v>142</v>
      </c>
      <c r="N49" s="210">
        <f>IF(Допускания!$C$5=3,MAX(N199,N123,N48),0)</f>
        <v>142</v>
      </c>
      <c r="O49" s="210">
        <f>IF(Допускания!$C$5=3,MAX(O199,O123,O48),0)</f>
        <v>142</v>
      </c>
      <c r="P49" s="210">
        <f>IF(Допускания!$C$5=3,MAX(P199,P123,P48),0)</f>
        <v>142</v>
      </c>
    </row>
    <row r="50" spans="1:16" ht="15" x14ac:dyDescent="0.2">
      <c r="A50" s="210" t="s">
        <v>145</v>
      </c>
      <c r="B50" s="222"/>
      <c r="C50" s="222"/>
      <c r="D50" s="356" t="s">
        <v>203</v>
      </c>
      <c r="E50" s="223">
        <f t="shared" ref="E50:P50" si="19">IF(E49=0,0,E43/E49/E45)</f>
        <v>0.82066384319905461</v>
      </c>
      <c r="F50" s="223">
        <f t="shared" si="19"/>
        <v>0.82066384319905461</v>
      </c>
      <c r="G50" s="223">
        <f t="shared" si="19"/>
        <v>0.82066384319905461</v>
      </c>
      <c r="H50" s="223">
        <f t="shared" si="19"/>
        <v>0.82066384319905461</v>
      </c>
      <c r="I50" s="223">
        <f t="shared" si="19"/>
        <v>0.82066384319905461</v>
      </c>
      <c r="J50" s="223">
        <f t="shared" si="19"/>
        <v>0.82066384319905461</v>
      </c>
      <c r="K50" s="223">
        <f t="shared" si="19"/>
        <v>0.82066384319905461</v>
      </c>
      <c r="L50" s="223">
        <f t="shared" si="19"/>
        <v>0.82066384319905461</v>
      </c>
      <c r="M50" s="223">
        <f t="shared" si="19"/>
        <v>0.82066384319905461</v>
      </c>
      <c r="N50" s="223">
        <f t="shared" si="19"/>
        <v>0.82066384319905461</v>
      </c>
      <c r="O50" s="223">
        <f t="shared" si="19"/>
        <v>0.82066384319905461</v>
      </c>
      <c r="P50" s="223">
        <f t="shared" si="19"/>
        <v>0.82066384319905461</v>
      </c>
    </row>
    <row r="51" spans="1:16" x14ac:dyDescent="0.2">
      <c r="A51" s="210" t="s">
        <v>146</v>
      </c>
      <c r="B51" s="222"/>
      <c r="C51" s="222"/>
      <c r="D51" s="356" t="s">
        <v>43</v>
      </c>
      <c r="E51" s="224">
        <f t="shared" ref="E51:P51" si="20">+E50*E42</f>
        <v>7.522751895991335E-2</v>
      </c>
      <c r="F51" s="224">
        <f t="shared" si="20"/>
        <v>7.522751895991335E-2</v>
      </c>
      <c r="G51" s="224">
        <f t="shared" si="20"/>
        <v>7.522751895991335E-2</v>
      </c>
      <c r="H51" s="224">
        <f t="shared" si="20"/>
        <v>7.522751895991335E-2</v>
      </c>
      <c r="I51" s="224">
        <f t="shared" si="20"/>
        <v>7.522751895991335E-2</v>
      </c>
      <c r="J51" s="224">
        <f t="shared" si="20"/>
        <v>7.522751895991335E-2</v>
      </c>
      <c r="K51" s="224">
        <f t="shared" si="20"/>
        <v>7.522751895991335E-2</v>
      </c>
      <c r="L51" s="224">
        <f t="shared" si="20"/>
        <v>7.522751895991335E-2</v>
      </c>
      <c r="M51" s="224">
        <f t="shared" si="20"/>
        <v>7.522751895991335E-2</v>
      </c>
      <c r="N51" s="224">
        <f t="shared" si="20"/>
        <v>7.522751895991335E-2</v>
      </c>
      <c r="O51" s="224">
        <f t="shared" si="20"/>
        <v>7.522751895991335E-2</v>
      </c>
      <c r="P51" s="224">
        <f t="shared" si="20"/>
        <v>7.522751895991335E-2</v>
      </c>
    </row>
    <row r="52" spans="1:16" x14ac:dyDescent="0.2">
      <c r="A52" s="210"/>
      <c r="B52" s="210"/>
      <c r="C52" s="210"/>
      <c r="D52" s="356"/>
      <c r="E52" s="225"/>
      <c r="F52" s="225"/>
      <c r="G52" s="225"/>
      <c r="H52" s="225"/>
      <c r="I52" s="225"/>
      <c r="J52" s="225"/>
      <c r="K52" s="225"/>
      <c r="L52" s="225"/>
      <c r="M52" s="225"/>
      <c r="N52" s="225"/>
      <c r="O52" s="225"/>
      <c r="P52" s="225"/>
    </row>
    <row r="53" spans="1:16" x14ac:dyDescent="0.2">
      <c r="A53" s="208" t="s">
        <v>48</v>
      </c>
      <c r="B53" s="210"/>
      <c r="C53" s="210"/>
      <c r="D53" s="356"/>
      <c r="E53" s="218">
        <f t="shared" ref="E53:P53" si="21">+E49*(1+E54)</f>
        <v>149.1</v>
      </c>
      <c r="F53" s="218">
        <f t="shared" si="21"/>
        <v>149.1</v>
      </c>
      <c r="G53" s="218">
        <f t="shared" si="21"/>
        <v>149.1</v>
      </c>
      <c r="H53" s="218">
        <f t="shared" si="21"/>
        <v>149.1</v>
      </c>
      <c r="I53" s="218">
        <f t="shared" si="21"/>
        <v>149.1</v>
      </c>
      <c r="J53" s="218">
        <f t="shared" si="21"/>
        <v>149.1</v>
      </c>
      <c r="K53" s="218">
        <f t="shared" si="21"/>
        <v>149.1</v>
      </c>
      <c r="L53" s="218">
        <f t="shared" si="21"/>
        <v>149.1</v>
      </c>
      <c r="M53" s="218">
        <f t="shared" si="21"/>
        <v>149.1</v>
      </c>
      <c r="N53" s="218">
        <f t="shared" si="21"/>
        <v>149.1</v>
      </c>
      <c r="O53" s="218">
        <f t="shared" si="21"/>
        <v>149.1</v>
      </c>
      <c r="P53" s="218">
        <f t="shared" si="21"/>
        <v>149.1</v>
      </c>
    </row>
    <row r="54" spans="1:16" x14ac:dyDescent="0.2">
      <c r="A54" s="210" t="s">
        <v>50</v>
      </c>
      <c r="B54" s="210"/>
      <c r="C54" s="210"/>
      <c r="D54" s="356"/>
      <c r="E54" s="226">
        <f>Допускания!C41</f>
        <v>0.05</v>
      </c>
      <c r="F54" s="226">
        <f>$E54</f>
        <v>0.05</v>
      </c>
      <c r="G54" s="226">
        <f t="shared" ref="G54:P54" si="22">$E54</f>
        <v>0.05</v>
      </c>
      <c r="H54" s="226">
        <f t="shared" si="22"/>
        <v>0.05</v>
      </c>
      <c r="I54" s="226">
        <f t="shared" si="22"/>
        <v>0.05</v>
      </c>
      <c r="J54" s="226">
        <f t="shared" si="22"/>
        <v>0.05</v>
      </c>
      <c r="K54" s="226">
        <f t="shared" si="22"/>
        <v>0.05</v>
      </c>
      <c r="L54" s="226">
        <f t="shared" si="22"/>
        <v>0.05</v>
      </c>
      <c r="M54" s="226">
        <f t="shared" si="22"/>
        <v>0.05</v>
      </c>
      <c r="N54" s="226">
        <f t="shared" si="22"/>
        <v>0.05</v>
      </c>
      <c r="O54" s="226">
        <f t="shared" si="22"/>
        <v>0.05</v>
      </c>
      <c r="P54" s="226">
        <f t="shared" si="22"/>
        <v>0.05</v>
      </c>
    </row>
    <row r="55" spans="1:16" x14ac:dyDescent="0.2">
      <c r="A55" s="353" t="s">
        <v>201</v>
      </c>
      <c r="B55" s="210"/>
      <c r="C55" s="210"/>
      <c r="D55" s="356"/>
      <c r="E55" s="218">
        <f t="shared" ref="E55:P55" si="23">+E53</f>
        <v>149.1</v>
      </c>
      <c r="F55" s="227">
        <f t="shared" si="23"/>
        <v>149.1</v>
      </c>
      <c r="G55" s="218">
        <f t="shared" si="23"/>
        <v>149.1</v>
      </c>
      <c r="H55" s="218">
        <f t="shared" si="23"/>
        <v>149.1</v>
      </c>
      <c r="I55" s="218">
        <f t="shared" si="23"/>
        <v>149.1</v>
      </c>
      <c r="J55" s="218">
        <f t="shared" si="23"/>
        <v>149.1</v>
      </c>
      <c r="K55" s="218">
        <f t="shared" si="23"/>
        <v>149.1</v>
      </c>
      <c r="L55" s="218">
        <f t="shared" si="23"/>
        <v>149.1</v>
      </c>
      <c r="M55" s="218">
        <f t="shared" si="23"/>
        <v>149.1</v>
      </c>
      <c r="N55" s="218">
        <f t="shared" si="23"/>
        <v>149.1</v>
      </c>
      <c r="O55" s="218">
        <f t="shared" si="23"/>
        <v>149.1</v>
      </c>
      <c r="P55" s="218">
        <f t="shared" si="23"/>
        <v>149.1</v>
      </c>
    </row>
    <row r="56" spans="1:16" x14ac:dyDescent="0.2">
      <c r="A56" s="210"/>
      <c r="B56" s="210"/>
      <c r="C56" s="210"/>
      <c r="D56" s="356"/>
      <c r="E56" s="213"/>
      <c r="F56" s="213"/>
      <c r="G56" s="213"/>
      <c r="H56" s="213"/>
      <c r="I56" s="213"/>
      <c r="J56" s="213"/>
      <c r="K56" s="213"/>
      <c r="L56" s="213"/>
      <c r="M56" s="213"/>
      <c r="N56" s="213"/>
      <c r="O56" s="213"/>
      <c r="P56" s="213"/>
    </row>
    <row r="57" spans="1:16" x14ac:dyDescent="0.2">
      <c r="A57" s="286" t="s">
        <v>193</v>
      </c>
      <c r="B57" s="210"/>
      <c r="C57" s="210"/>
      <c r="D57" s="356"/>
      <c r="E57" s="227"/>
      <c r="F57" s="227"/>
      <c r="G57" s="227"/>
      <c r="H57" s="227"/>
      <c r="I57" s="227"/>
      <c r="J57" s="227"/>
      <c r="K57" s="227"/>
      <c r="L57" s="227"/>
      <c r="M57" s="227"/>
      <c r="N57" s="227"/>
      <c r="O57" s="227"/>
      <c r="P57" s="227"/>
    </row>
    <row r="58" spans="1:16" x14ac:dyDescent="0.2">
      <c r="A58" s="210" t="s">
        <v>54</v>
      </c>
      <c r="B58" s="210"/>
      <c r="C58" s="210"/>
      <c r="D58" s="356" t="s">
        <v>22</v>
      </c>
      <c r="E58" s="227">
        <f>Допускания!C45*0.3</f>
        <v>4.8</v>
      </c>
      <c r="F58" s="227">
        <f t="shared" ref="F58:P58" si="24">+E58</f>
        <v>4.8</v>
      </c>
      <c r="G58" s="227">
        <f t="shared" si="24"/>
        <v>4.8</v>
      </c>
      <c r="H58" s="227">
        <f t="shared" si="24"/>
        <v>4.8</v>
      </c>
      <c r="I58" s="227">
        <f t="shared" si="24"/>
        <v>4.8</v>
      </c>
      <c r="J58" s="227">
        <f t="shared" si="24"/>
        <v>4.8</v>
      </c>
      <c r="K58" s="227">
        <f t="shared" si="24"/>
        <v>4.8</v>
      </c>
      <c r="L58" s="227">
        <f t="shared" si="24"/>
        <v>4.8</v>
      </c>
      <c r="M58" s="227">
        <f t="shared" si="24"/>
        <v>4.8</v>
      </c>
      <c r="N58" s="227">
        <f t="shared" si="24"/>
        <v>4.8</v>
      </c>
      <c r="O58" s="227">
        <f t="shared" si="24"/>
        <v>4.8</v>
      </c>
      <c r="P58" s="227">
        <f t="shared" si="24"/>
        <v>4.8</v>
      </c>
    </row>
    <row r="59" spans="1:16" x14ac:dyDescent="0.2">
      <c r="A59" s="210" t="s">
        <v>55</v>
      </c>
      <c r="B59" s="210"/>
      <c r="C59" s="210"/>
      <c r="D59" s="356" t="s">
        <v>56</v>
      </c>
      <c r="E59" s="219">
        <v>0.85</v>
      </c>
      <c r="F59" s="219">
        <f t="shared" ref="F59:P59" si="25">+E59</f>
        <v>0.85</v>
      </c>
      <c r="G59" s="219">
        <f t="shared" si="25"/>
        <v>0.85</v>
      </c>
      <c r="H59" s="219">
        <f t="shared" si="25"/>
        <v>0.85</v>
      </c>
      <c r="I59" s="219">
        <f t="shared" si="25"/>
        <v>0.85</v>
      </c>
      <c r="J59" s="219">
        <f t="shared" si="25"/>
        <v>0.85</v>
      </c>
      <c r="K59" s="219">
        <f t="shared" si="25"/>
        <v>0.85</v>
      </c>
      <c r="L59" s="219">
        <f t="shared" si="25"/>
        <v>0.85</v>
      </c>
      <c r="M59" s="219">
        <f t="shared" si="25"/>
        <v>0.85</v>
      </c>
      <c r="N59" s="219">
        <f t="shared" si="25"/>
        <v>0.85</v>
      </c>
      <c r="O59" s="219">
        <f t="shared" si="25"/>
        <v>0.85</v>
      </c>
      <c r="P59" s="219">
        <f t="shared" si="25"/>
        <v>0.85</v>
      </c>
    </row>
    <row r="60" spans="1:16" x14ac:dyDescent="0.2">
      <c r="A60" s="210" t="s">
        <v>57</v>
      </c>
      <c r="B60" s="210"/>
      <c r="C60" s="210"/>
      <c r="D60" s="356" t="s">
        <v>22</v>
      </c>
      <c r="E60" s="227">
        <f t="shared" ref="E60:P60" si="26">+E58*E59</f>
        <v>4.08</v>
      </c>
      <c r="F60" s="227">
        <f t="shared" si="26"/>
        <v>4.08</v>
      </c>
      <c r="G60" s="227">
        <f t="shared" si="26"/>
        <v>4.08</v>
      </c>
      <c r="H60" s="227">
        <f t="shared" si="26"/>
        <v>4.08</v>
      </c>
      <c r="I60" s="227">
        <f t="shared" si="26"/>
        <v>4.08</v>
      </c>
      <c r="J60" s="227">
        <f t="shared" si="26"/>
        <v>4.08</v>
      </c>
      <c r="K60" s="227">
        <f t="shared" si="26"/>
        <v>4.08</v>
      </c>
      <c r="L60" s="227">
        <f t="shared" si="26"/>
        <v>4.08</v>
      </c>
      <c r="M60" s="227">
        <f t="shared" si="26"/>
        <v>4.08</v>
      </c>
      <c r="N60" s="227">
        <f t="shared" si="26"/>
        <v>4.08</v>
      </c>
      <c r="O60" s="227">
        <f t="shared" si="26"/>
        <v>4.08</v>
      </c>
      <c r="P60" s="227">
        <f t="shared" si="26"/>
        <v>4.08</v>
      </c>
    </row>
    <row r="61" spans="1:16" x14ac:dyDescent="0.2">
      <c r="A61" s="210" t="s">
        <v>58</v>
      </c>
      <c r="B61" s="210"/>
      <c r="C61" s="210"/>
      <c r="D61" s="356" t="s">
        <v>19</v>
      </c>
      <c r="E61" s="219">
        <v>0.85</v>
      </c>
      <c r="F61" s="219">
        <f t="shared" ref="F61:P61" si="27">+E61</f>
        <v>0.85</v>
      </c>
      <c r="G61" s="219">
        <f t="shared" si="27"/>
        <v>0.85</v>
      </c>
      <c r="H61" s="219">
        <f t="shared" si="27"/>
        <v>0.85</v>
      </c>
      <c r="I61" s="219">
        <f t="shared" si="27"/>
        <v>0.85</v>
      </c>
      <c r="J61" s="219">
        <f t="shared" si="27"/>
        <v>0.85</v>
      </c>
      <c r="K61" s="219">
        <f t="shared" si="27"/>
        <v>0.85</v>
      </c>
      <c r="L61" s="219">
        <f t="shared" si="27"/>
        <v>0.85</v>
      </c>
      <c r="M61" s="219">
        <f t="shared" si="27"/>
        <v>0.85</v>
      </c>
      <c r="N61" s="219">
        <f t="shared" si="27"/>
        <v>0.85</v>
      </c>
      <c r="O61" s="219">
        <f t="shared" si="27"/>
        <v>0.85</v>
      </c>
      <c r="P61" s="219">
        <f t="shared" si="27"/>
        <v>0.85</v>
      </c>
    </row>
    <row r="62" spans="1:16" x14ac:dyDescent="0.2">
      <c r="A62" s="210"/>
      <c r="B62" s="210"/>
      <c r="C62" s="210"/>
      <c r="D62" s="356"/>
      <c r="E62" s="219"/>
      <c r="F62" s="219"/>
      <c r="G62" s="219"/>
      <c r="H62" s="219"/>
      <c r="I62" s="219"/>
      <c r="J62" s="219"/>
      <c r="K62" s="219"/>
      <c r="L62" s="219"/>
      <c r="M62" s="219"/>
      <c r="N62" s="219"/>
      <c r="O62" s="219"/>
      <c r="P62" s="219"/>
    </row>
    <row r="63" spans="1:16" x14ac:dyDescent="0.2">
      <c r="A63" s="208" t="s">
        <v>59</v>
      </c>
      <c r="B63" s="210"/>
      <c r="C63" s="210"/>
      <c r="D63" s="356"/>
      <c r="E63" s="219"/>
      <c r="F63" s="219"/>
      <c r="G63" s="219"/>
      <c r="H63" s="219"/>
      <c r="I63" s="219"/>
      <c r="J63" s="219"/>
      <c r="K63" s="219"/>
      <c r="L63" s="219"/>
      <c r="M63" s="219"/>
      <c r="N63" s="219"/>
      <c r="O63" s="219"/>
      <c r="P63" s="219"/>
    </row>
    <row r="64" spans="1:16" x14ac:dyDescent="0.2">
      <c r="A64" s="210" t="s">
        <v>60</v>
      </c>
      <c r="B64" s="210"/>
      <c r="C64" s="210"/>
      <c r="D64" s="356" t="s">
        <v>61</v>
      </c>
      <c r="E64" s="218">
        <f>B15</f>
        <v>20</v>
      </c>
      <c r="F64" s="218">
        <f t="shared" ref="F64:P64" si="28">+E64</f>
        <v>20</v>
      </c>
      <c r="G64" s="218">
        <f t="shared" si="28"/>
        <v>20</v>
      </c>
      <c r="H64" s="218">
        <f t="shared" si="28"/>
        <v>20</v>
      </c>
      <c r="I64" s="218">
        <f t="shared" si="28"/>
        <v>20</v>
      </c>
      <c r="J64" s="218">
        <f t="shared" si="28"/>
        <v>20</v>
      </c>
      <c r="K64" s="218">
        <f t="shared" si="28"/>
        <v>20</v>
      </c>
      <c r="L64" s="218">
        <f t="shared" si="28"/>
        <v>20</v>
      </c>
      <c r="M64" s="218">
        <f t="shared" si="28"/>
        <v>20</v>
      </c>
      <c r="N64" s="218">
        <f t="shared" si="28"/>
        <v>20</v>
      </c>
      <c r="O64" s="218">
        <f t="shared" si="28"/>
        <v>20</v>
      </c>
      <c r="P64" s="218">
        <f t="shared" si="28"/>
        <v>20</v>
      </c>
    </row>
    <row r="65" spans="1:16" x14ac:dyDescent="0.2">
      <c r="A65" s="210" t="s">
        <v>62</v>
      </c>
      <c r="B65" s="210"/>
      <c r="C65" s="210"/>
      <c r="D65" s="356" t="s">
        <v>63</v>
      </c>
      <c r="E65" s="440">
        <v>30</v>
      </c>
      <c r="F65" s="218">
        <f t="shared" ref="F65:P65" si="29">E65</f>
        <v>30</v>
      </c>
      <c r="G65" s="218">
        <f t="shared" si="29"/>
        <v>30</v>
      </c>
      <c r="H65" s="218">
        <f t="shared" si="29"/>
        <v>30</v>
      </c>
      <c r="I65" s="218">
        <f t="shared" si="29"/>
        <v>30</v>
      </c>
      <c r="J65" s="218">
        <f t="shared" si="29"/>
        <v>30</v>
      </c>
      <c r="K65" s="218">
        <f t="shared" si="29"/>
        <v>30</v>
      </c>
      <c r="L65" s="218">
        <f t="shared" si="29"/>
        <v>30</v>
      </c>
      <c r="M65" s="218">
        <f t="shared" si="29"/>
        <v>30</v>
      </c>
      <c r="N65" s="218">
        <f t="shared" si="29"/>
        <v>30</v>
      </c>
      <c r="O65" s="218">
        <f t="shared" si="29"/>
        <v>30</v>
      </c>
      <c r="P65" s="218">
        <f t="shared" si="29"/>
        <v>30</v>
      </c>
    </row>
    <row r="66" spans="1:16" x14ac:dyDescent="0.2">
      <c r="A66" s="210" t="s">
        <v>64</v>
      </c>
      <c r="B66" s="210"/>
      <c r="C66" s="210"/>
      <c r="D66" s="356" t="s">
        <v>30</v>
      </c>
      <c r="E66" s="228">
        <f t="shared" ref="E66:P66" si="30">+E64*2/E65</f>
        <v>1.3333333333333333</v>
      </c>
      <c r="F66" s="228">
        <f t="shared" si="30"/>
        <v>1.3333333333333333</v>
      </c>
      <c r="G66" s="228">
        <f t="shared" si="30"/>
        <v>1.3333333333333333</v>
      </c>
      <c r="H66" s="228">
        <f t="shared" si="30"/>
        <v>1.3333333333333333</v>
      </c>
      <c r="I66" s="228">
        <f t="shared" si="30"/>
        <v>1.3333333333333333</v>
      </c>
      <c r="J66" s="228">
        <f t="shared" si="30"/>
        <v>1.3333333333333333</v>
      </c>
      <c r="K66" s="228">
        <f t="shared" si="30"/>
        <v>1.3333333333333333</v>
      </c>
      <c r="L66" s="228">
        <f t="shared" si="30"/>
        <v>1.3333333333333333</v>
      </c>
      <c r="M66" s="228">
        <f t="shared" si="30"/>
        <v>1.3333333333333333</v>
      </c>
      <c r="N66" s="228">
        <f t="shared" si="30"/>
        <v>1.3333333333333333</v>
      </c>
      <c r="O66" s="228">
        <f t="shared" si="30"/>
        <v>1.3333333333333333</v>
      </c>
      <c r="P66" s="228">
        <f t="shared" si="30"/>
        <v>1.3333333333333333</v>
      </c>
    </row>
    <row r="67" spans="1:16" s="373" customFormat="1" x14ac:dyDescent="0.2">
      <c r="A67" s="375" t="s">
        <v>65</v>
      </c>
      <c r="B67" s="375"/>
      <c r="C67" s="375"/>
      <c r="D67" s="356" t="s">
        <v>30</v>
      </c>
      <c r="E67" s="376">
        <f>Допускания!C49</f>
        <v>0.5</v>
      </c>
      <c r="F67" s="376">
        <f t="shared" ref="F67:P67" si="31">E67</f>
        <v>0.5</v>
      </c>
      <c r="G67" s="376">
        <f t="shared" si="31"/>
        <v>0.5</v>
      </c>
      <c r="H67" s="376">
        <f t="shared" si="31"/>
        <v>0.5</v>
      </c>
      <c r="I67" s="376">
        <f t="shared" si="31"/>
        <v>0.5</v>
      </c>
      <c r="J67" s="376">
        <f t="shared" si="31"/>
        <v>0.5</v>
      </c>
      <c r="K67" s="376">
        <f t="shared" si="31"/>
        <v>0.5</v>
      </c>
      <c r="L67" s="376">
        <f t="shared" si="31"/>
        <v>0.5</v>
      </c>
      <c r="M67" s="376">
        <f t="shared" si="31"/>
        <v>0.5</v>
      </c>
      <c r="N67" s="376">
        <f t="shared" si="31"/>
        <v>0.5</v>
      </c>
      <c r="O67" s="376">
        <f t="shared" si="31"/>
        <v>0.5</v>
      </c>
      <c r="P67" s="376">
        <f t="shared" si="31"/>
        <v>0.5</v>
      </c>
    </row>
    <row r="68" spans="1:16" x14ac:dyDescent="0.2">
      <c r="A68" s="210" t="s">
        <v>66</v>
      </c>
      <c r="B68" s="210"/>
      <c r="C68" s="210"/>
      <c r="D68" s="356" t="s">
        <v>30</v>
      </c>
      <c r="E68" s="228">
        <f t="shared" ref="E68:P68" si="32">+E67+E66</f>
        <v>1.8333333333333333</v>
      </c>
      <c r="F68" s="228">
        <f t="shared" si="32"/>
        <v>1.8333333333333333</v>
      </c>
      <c r="G68" s="228">
        <f t="shared" si="32"/>
        <v>1.8333333333333333</v>
      </c>
      <c r="H68" s="228">
        <f t="shared" si="32"/>
        <v>1.8333333333333333</v>
      </c>
      <c r="I68" s="228">
        <f t="shared" si="32"/>
        <v>1.8333333333333333</v>
      </c>
      <c r="J68" s="228">
        <f t="shared" si="32"/>
        <v>1.8333333333333333</v>
      </c>
      <c r="K68" s="228">
        <f t="shared" si="32"/>
        <v>1.8333333333333333</v>
      </c>
      <c r="L68" s="228">
        <f t="shared" si="32"/>
        <v>1.8333333333333333</v>
      </c>
      <c r="M68" s="228">
        <f t="shared" si="32"/>
        <v>1.8333333333333333</v>
      </c>
      <c r="N68" s="228">
        <f t="shared" si="32"/>
        <v>1.8333333333333333</v>
      </c>
      <c r="O68" s="228">
        <f t="shared" si="32"/>
        <v>1.8333333333333333</v>
      </c>
      <c r="P68" s="228">
        <f t="shared" si="32"/>
        <v>1.8333333333333333</v>
      </c>
    </row>
    <row r="69" spans="1:16" x14ac:dyDescent="0.2">
      <c r="A69" s="210" t="s">
        <v>67</v>
      </c>
      <c r="B69" s="210"/>
      <c r="C69" s="210"/>
      <c r="D69" s="356" t="s">
        <v>68</v>
      </c>
      <c r="E69" s="228">
        <f>Допускания!C53</f>
        <v>1.5</v>
      </c>
      <c r="F69" s="228">
        <f t="shared" ref="F69:P69" si="33">+E69</f>
        <v>1.5</v>
      </c>
      <c r="G69" s="228">
        <f t="shared" si="33"/>
        <v>1.5</v>
      </c>
      <c r="H69" s="228">
        <f t="shared" si="33"/>
        <v>1.5</v>
      </c>
      <c r="I69" s="228">
        <f t="shared" si="33"/>
        <v>1.5</v>
      </c>
      <c r="J69" s="228">
        <f t="shared" si="33"/>
        <v>1.5</v>
      </c>
      <c r="K69" s="228">
        <f t="shared" si="33"/>
        <v>1.5</v>
      </c>
      <c r="L69" s="228">
        <f t="shared" si="33"/>
        <v>1.5</v>
      </c>
      <c r="M69" s="228">
        <f t="shared" si="33"/>
        <v>1.5</v>
      </c>
      <c r="N69" s="228">
        <f t="shared" si="33"/>
        <v>1.5</v>
      </c>
      <c r="O69" s="228">
        <f t="shared" si="33"/>
        <v>1.5</v>
      </c>
      <c r="P69" s="228">
        <f t="shared" si="33"/>
        <v>1.5</v>
      </c>
    </row>
    <row r="70" spans="1:16" x14ac:dyDescent="0.2">
      <c r="A70" s="210" t="s">
        <v>146</v>
      </c>
      <c r="B70" s="210"/>
      <c r="C70" s="210"/>
      <c r="D70" s="356" t="s">
        <v>43</v>
      </c>
      <c r="E70" s="229">
        <f t="shared" ref="E70:P70" si="34">+E51</f>
        <v>7.522751895991335E-2</v>
      </c>
      <c r="F70" s="229">
        <f t="shared" si="34"/>
        <v>7.522751895991335E-2</v>
      </c>
      <c r="G70" s="229">
        <f t="shared" si="34"/>
        <v>7.522751895991335E-2</v>
      </c>
      <c r="H70" s="229">
        <f t="shared" si="34"/>
        <v>7.522751895991335E-2</v>
      </c>
      <c r="I70" s="229">
        <f t="shared" si="34"/>
        <v>7.522751895991335E-2</v>
      </c>
      <c r="J70" s="229">
        <f t="shared" si="34"/>
        <v>7.522751895991335E-2</v>
      </c>
      <c r="K70" s="229">
        <f t="shared" si="34"/>
        <v>7.522751895991335E-2</v>
      </c>
      <c r="L70" s="229">
        <f t="shared" si="34"/>
        <v>7.522751895991335E-2</v>
      </c>
      <c r="M70" s="229">
        <f t="shared" si="34"/>
        <v>7.522751895991335E-2</v>
      </c>
      <c r="N70" s="229">
        <f t="shared" si="34"/>
        <v>7.522751895991335E-2</v>
      </c>
      <c r="O70" s="229">
        <f t="shared" si="34"/>
        <v>7.522751895991335E-2</v>
      </c>
      <c r="P70" s="229">
        <f t="shared" si="34"/>
        <v>7.522751895991335E-2</v>
      </c>
    </row>
    <row r="71" spans="1:16" x14ac:dyDescent="0.2">
      <c r="A71" s="210" t="s">
        <v>69</v>
      </c>
      <c r="B71" s="210"/>
      <c r="C71" s="210"/>
      <c r="D71" s="356" t="s">
        <v>70</v>
      </c>
      <c r="E71" s="228">
        <f t="shared" ref="E71:P71" si="35">+E70*60/E69</f>
        <v>3.0091007583965337</v>
      </c>
      <c r="F71" s="228">
        <f t="shared" si="35"/>
        <v>3.0091007583965337</v>
      </c>
      <c r="G71" s="228">
        <f t="shared" si="35"/>
        <v>3.0091007583965337</v>
      </c>
      <c r="H71" s="228">
        <f t="shared" si="35"/>
        <v>3.0091007583965337</v>
      </c>
      <c r="I71" s="228">
        <f t="shared" si="35"/>
        <v>3.0091007583965337</v>
      </c>
      <c r="J71" s="228">
        <f t="shared" si="35"/>
        <v>3.0091007583965337</v>
      </c>
      <c r="K71" s="228">
        <f t="shared" si="35"/>
        <v>3.0091007583965337</v>
      </c>
      <c r="L71" s="228">
        <f t="shared" si="35"/>
        <v>3.0091007583965337</v>
      </c>
      <c r="M71" s="228">
        <f t="shared" si="35"/>
        <v>3.0091007583965337</v>
      </c>
      <c r="N71" s="228">
        <f t="shared" si="35"/>
        <v>3.0091007583965337</v>
      </c>
      <c r="O71" s="228">
        <f t="shared" si="35"/>
        <v>3.0091007583965337</v>
      </c>
      <c r="P71" s="228">
        <f t="shared" si="35"/>
        <v>3.0091007583965337</v>
      </c>
    </row>
    <row r="72" spans="1:16" x14ac:dyDescent="0.2">
      <c r="A72" s="210" t="s">
        <v>71</v>
      </c>
      <c r="B72" s="210"/>
      <c r="C72" s="210"/>
      <c r="D72" s="356" t="s">
        <v>30</v>
      </c>
      <c r="E72" s="228">
        <f t="shared" ref="E72:P72" si="36">IF(E71=0,0,+E60/E71)</f>
        <v>1.3558868006048821</v>
      </c>
      <c r="F72" s="228">
        <f t="shared" si="36"/>
        <v>1.3558868006048821</v>
      </c>
      <c r="G72" s="228">
        <f t="shared" si="36"/>
        <v>1.3558868006048821</v>
      </c>
      <c r="H72" s="228">
        <f t="shared" si="36"/>
        <v>1.3558868006048821</v>
      </c>
      <c r="I72" s="228">
        <f t="shared" si="36"/>
        <v>1.3558868006048821</v>
      </c>
      <c r="J72" s="228">
        <f t="shared" si="36"/>
        <v>1.3558868006048821</v>
      </c>
      <c r="K72" s="228">
        <f t="shared" si="36"/>
        <v>1.3558868006048821</v>
      </c>
      <c r="L72" s="228">
        <f t="shared" si="36"/>
        <v>1.3558868006048821</v>
      </c>
      <c r="M72" s="228">
        <f t="shared" si="36"/>
        <v>1.3558868006048821</v>
      </c>
      <c r="N72" s="228">
        <f t="shared" si="36"/>
        <v>1.3558868006048821</v>
      </c>
      <c r="O72" s="228">
        <f t="shared" si="36"/>
        <v>1.3558868006048821</v>
      </c>
      <c r="P72" s="228">
        <f t="shared" si="36"/>
        <v>1.3558868006048821</v>
      </c>
    </row>
    <row r="73" spans="1:16" x14ac:dyDescent="0.2">
      <c r="A73" s="210" t="s">
        <v>72</v>
      </c>
      <c r="B73" s="210"/>
      <c r="C73" s="210"/>
      <c r="D73" s="356" t="s">
        <v>30</v>
      </c>
      <c r="E73" s="228">
        <f t="shared" ref="E73:P73" si="37">IF(E70=0,0,IF(E60/E70*E69/60&gt;E29-E68,E29-E68,E60/E70*E69/60))</f>
        <v>1.3558868006048819</v>
      </c>
      <c r="F73" s="228">
        <f t="shared" si="37"/>
        <v>1.3558868006048819</v>
      </c>
      <c r="G73" s="228">
        <f t="shared" si="37"/>
        <v>1.3558868006048819</v>
      </c>
      <c r="H73" s="228">
        <f t="shared" si="37"/>
        <v>1.3558868006048819</v>
      </c>
      <c r="I73" s="228">
        <f t="shared" si="37"/>
        <v>1.3558868006048819</v>
      </c>
      <c r="J73" s="228">
        <f t="shared" si="37"/>
        <v>1.3558868006048819</v>
      </c>
      <c r="K73" s="228">
        <f t="shared" si="37"/>
        <v>1.3558868006048819</v>
      </c>
      <c r="L73" s="228">
        <f t="shared" si="37"/>
        <v>1.3558868006048819</v>
      </c>
      <c r="M73" s="228">
        <f t="shared" si="37"/>
        <v>1.3558868006048819</v>
      </c>
      <c r="N73" s="228">
        <f t="shared" si="37"/>
        <v>1.3558868006048819</v>
      </c>
      <c r="O73" s="228">
        <f t="shared" si="37"/>
        <v>1.3558868006048819</v>
      </c>
      <c r="P73" s="228">
        <f t="shared" si="37"/>
        <v>1.3558868006048819</v>
      </c>
    </row>
    <row r="74" spans="1:16" outlineLevel="1" x14ac:dyDescent="0.2">
      <c r="A74" s="210" t="s">
        <v>73</v>
      </c>
      <c r="B74" s="210"/>
      <c r="C74" s="210"/>
      <c r="D74" s="356" t="s">
        <v>30</v>
      </c>
      <c r="E74" s="228">
        <f t="shared" ref="E74:P74" si="38">+E73+E68</f>
        <v>3.1892201339382149</v>
      </c>
      <c r="F74" s="228">
        <f t="shared" si="38"/>
        <v>3.1892201339382149</v>
      </c>
      <c r="G74" s="228">
        <f t="shared" si="38"/>
        <v>3.1892201339382149</v>
      </c>
      <c r="H74" s="228">
        <f t="shared" si="38"/>
        <v>3.1892201339382149</v>
      </c>
      <c r="I74" s="228">
        <f t="shared" si="38"/>
        <v>3.1892201339382149</v>
      </c>
      <c r="J74" s="228">
        <f t="shared" si="38"/>
        <v>3.1892201339382149</v>
      </c>
      <c r="K74" s="228">
        <f t="shared" si="38"/>
        <v>3.1892201339382149</v>
      </c>
      <c r="L74" s="228">
        <f t="shared" si="38"/>
        <v>3.1892201339382149</v>
      </c>
      <c r="M74" s="228">
        <f t="shared" si="38"/>
        <v>3.1892201339382149</v>
      </c>
      <c r="N74" s="228">
        <f t="shared" si="38"/>
        <v>3.1892201339382149</v>
      </c>
      <c r="O74" s="228">
        <f t="shared" si="38"/>
        <v>3.1892201339382149</v>
      </c>
      <c r="P74" s="228">
        <f t="shared" si="38"/>
        <v>3.1892201339382149</v>
      </c>
    </row>
    <row r="75" spans="1:16" x14ac:dyDescent="0.2">
      <c r="A75" s="210" t="s">
        <v>74</v>
      </c>
      <c r="B75" s="210">
        <v>0.5</v>
      </c>
      <c r="C75" s="210" t="s">
        <v>30</v>
      </c>
      <c r="D75" s="356" t="s">
        <v>30</v>
      </c>
      <c r="E75" s="227">
        <f>B75</f>
        <v>0.5</v>
      </c>
      <c r="F75" s="227">
        <f t="shared" ref="F75:P75" si="39">+E75</f>
        <v>0.5</v>
      </c>
      <c r="G75" s="227">
        <f t="shared" si="39"/>
        <v>0.5</v>
      </c>
      <c r="H75" s="227">
        <f t="shared" si="39"/>
        <v>0.5</v>
      </c>
      <c r="I75" s="227">
        <f t="shared" si="39"/>
        <v>0.5</v>
      </c>
      <c r="J75" s="227">
        <f t="shared" si="39"/>
        <v>0.5</v>
      </c>
      <c r="K75" s="227">
        <f t="shared" si="39"/>
        <v>0.5</v>
      </c>
      <c r="L75" s="227">
        <f t="shared" si="39"/>
        <v>0.5</v>
      </c>
      <c r="M75" s="227">
        <f t="shared" si="39"/>
        <v>0.5</v>
      </c>
      <c r="N75" s="227">
        <f t="shared" si="39"/>
        <v>0.5</v>
      </c>
      <c r="O75" s="227">
        <f t="shared" si="39"/>
        <v>0.5</v>
      </c>
      <c r="P75" s="227">
        <f t="shared" si="39"/>
        <v>0.5</v>
      </c>
    </row>
    <row r="76" spans="1:16" x14ac:dyDescent="0.2">
      <c r="A76" s="210" t="s">
        <v>75</v>
      </c>
      <c r="B76" s="210"/>
      <c r="C76" s="210"/>
      <c r="D76" s="356" t="s">
        <v>30</v>
      </c>
      <c r="E76" s="230">
        <f t="shared" ref="E76:P76" si="40">+E29*E30-E74</f>
        <v>4.8107798660617851</v>
      </c>
      <c r="F76" s="230">
        <f t="shared" si="40"/>
        <v>4.8107798660617851</v>
      </c>
      <c r="G76" s="230">
        <f t="shared" si="40"/>
        <v>4.8107798660617851</v>
      </c>
      <c r="H76" s="230">
        <f t="shared" si="40"/>
        <v>4.8107798660617851</v>
      </c>
      <c r="I76" s="230">
        <f t="shared" si="40"/>
        <v>4.8107798660617851</v>
      </c>
      <c r="J76" s="230">
        <f t="shared" si="40"/>
        <v>4.8107798660617851</v>
      </c>
      <c r="K76" s="230">
        <f t="shared" si="40"/>
        <v>4.8107798660617851</v>
      </c>
      <c r="L76" s="230">
        <f t="shared" si="40"/>
        <v>4.8107798660617851</v>
      </c>
      <c r="M76" s="230">
        <f t="shared" si="40"/>
        <v>4.8107798660617851</v>
      </c>
      <c r="N76" s="230">
        <f t="shared" si="40"/>
        <v>4.8107798660617851</v>
      </c>
      <c r="O76" s="230">
        <f t="shared" si="40"/>
        <v>4.8107798660617851</v>
      </c>
      <c r="P76" s="230">
        <f t="shared" si="40"/>
        <v>4.8107798660617851</v>
      </c>
    </row>
    <row r="77" spans="1:16" x14ac:dyDescent="0.2">
      <c r="A77" s="210" t="s">
        <v>76</v>
      </c>
      <c r="B77" s="210"/>
      <c r="C77" s="210"/>
      <c r="D77" s="356" t="s">
        <v>30</v>
      </c>
      <c r="E77" s="230">
        <f t="shared" ref="E77:P77" si="41">+IF(E76-E68&gt;E75,IF(E76-E68&gt;E73,E73,E76-E68),0)</f>
        <v>1.3558868006048819</v>
      </c>
      <c r="F77" s="230">
        <f t="shared" si="41"/>
        <v>1.3558868006048819</v>
      </c>
      <c r="G77" s="230">
        <f t="shared" si="41"/>
        <v>1.3558868006048819</v>
      </c>
      <c r="H77" s="230">
        <f t="shared" si="41"/>
        <v>1.3558868006048819</v>
      </c>
      <c r="I77" s="230">
        <f t="shared" si="41"/>
        <v>1.3558868006048819</v>
      </c>
      <c r="J77" s="230">
        <f t="shared" si="41"/>
        <v>1.3558868006048819</v>
      </c>
      <c r="K77" s="230">
        <f t="shared" si="41"/>
        <v>1.3558868006048819</v>
      </c>
      <c r="L77" s="230">
        <f t="shared" si="41"/>
        <v>1.3558868006048819</v>
      </c>
      <c r="M77" s="230">
        <f t="shared" si="41"/>
        <v>1.3558868006048819</v>
      </c>
      <c r="N77" s="230">
        <f t="shared" si="41"/>
        <v>1.3558868006048819</v>
      </c>
      <c r="O77" s="230">
        <f t="shared" si="41"/>
        <v>1.3558868006048819</v>
      </c>
      <c r="P77" s="230">
        <f t="shared" si="41"/>
        <v>1.3558868006048819</v>
      </c>
    </row>
    <row r="78" spans="1:16" x14ac:dyDescent="0.2">
      <c r="A78" s="210" t="s">
        <v>77</v>
      </c>
      <c r="B78" s="210"/>
      <c r="C78" s="210"/>
      <c r="D78" s="356" t="s">
        <v>30</v>
      </c>
      <c r="E78" s="230">
        <f t="shared" ref="E78:P78" si="42">+IF(E77&gt;0,E76-E77-E68,0)</f>
        <v>1.62155973212357</v>
      </c>
      <c r="F78" s="230">
        <f t="shared" si="42"/>
        <v>1.62155973212357</v>
      </c>
      <c r="G78" s="230">
        <f t="shared" si="42"/>
        <v>1.62155973212357</v>
      </c>
      <c r="H78" s="230">
        <f t="shared" si="42"/>
        <v>1.62155973212357</v>
      </c>
      <c r="I78" s="230">
        <f t="shared" si="42"/>
        <v>1.62155973212357</v>
      </c>
      <c r="J78" s="230">
        <f t="shared" si="42"/>
        <v>1.62155973212357</v>
      </c>
      <c r="K78" s="230">
        <f t="shared" si="42"/>
        <v>1.62155973212357</v>
      </c>
      <c r="L78" s="230">
        <f t="shared" si="42"/>
        <v>1.62155973212357</v>
      </c>
      <c r="M78" s="230">
        <f t="shared" si="42"/>
        <v>1.62155973212357</v>
      </c>
      <c r="N78" s="230">
        <f t="shared" si="42"/>
        <v>1.62155973212357</v>
      </c>
      <c r="O78" s="230">
        <f t="shared" si="42"/>
        <v>1.62155973212357</v>
      </c>
      <c r="P78" s="230">
        <f t="shared" si="42"/>
        <v>1.62155973212357</v>
      </c>
    </row>
    <row r="79" spans="1:16" x14ac:dyDescent="0.2">
      <c r="A79" s="210" t="s">
        <v>76</v>
      </c>
      <c r="B79" s="210"/>
      <c r="C79" s="210"/>
      <c r="D79" s="356" t="s">
        <v>30</v>
      </c>
      <c r="E79" s="230">
        <f t="shared" ref="E79:P79" si="43">+IF(E78-E68&gt;E75,IF(E78-E68&gt;E73,E73,E78-E68),0)</f>
        <v>0</v>
      </c>
      <c r="F79" s="230">
        <f t="shared" si="43"/>
        <v>0</v>
      </c>
      <c r="G79" s="230">
        <f t="shared" si="43"/>
        <v>0</v>
      </c>
      <c r="H79" s="230">
        <f t="shared" si="43"/>
        <v>0</v>
      </c>
      <c r="I79" s="230">
        <f t="shared" si="43"/>
        <v>0</v>
      </c>
      <c r="J79" s="230">
        <f t="shared" si="43"/>
        <v>0</v>
      </c>
      <c r="K79" s="230">
        <f t="shared" si="43"/>
        <v>0</v>
      </c>
      <c r="L79" s="230">
        <f t="shared" si="43"/>
        <v>0</v>
      </c>
      <c r="M79" s="230">
        <f t="shared" si="43"/>
        <v>0</v>
      </c>
      <c r="N79" s="230">
        <f t="shared" si="43"/>
        <v>0</v>
      </c>
      <c r="O79" s="230">
        <f t="shared" si="43"/>
        <v>0</v>
      </c>
      <c r="P79" s="230">
        <f t="shared" si="43"/>
        <v>0</v>
      </c>
    </row>
    <row r="80" spans="1:16" x14ac:dyDescent="0.2">
      <c r="A80" s="210" t="s">
        <v>78</v>
      </c>
      <c r="B80" s="210"/>
      <c r="C80" s="210"/>
      <c r="D80" s="356" t="s">
        <v>30</v>
      </c>
      <c r="E80" s="230">
        <f t="shared" ref="E80:P80" si="44">+IF(E79&gt;0,E78-E79-E68,0)</f>
        <v>0</v>
      </c>
      <c r="F80" s="230">
        <f t="shared" si="44"/>
        <v>0</v>
      </c>
      <c r="G80" s="230">
        <f t="shared" si="44"/>
        <v>0</v>
      </c>
      <c r="H80" s="230">
        <f t="shared" si="44"/>
        <v>0</v>
      </c>
      <c r="I80" s="230">
        <f t="shared" si="44"/>
        <v>0</v>
      </c>
      <c r="J80" s="230">
        <f t="shared" si="44"/>
        <v>0</v>
      </c>
      <c r="K80" s="230">
        <f t="shared" si="44"/>
        <v>0</v>
      </c>
      <c r="L80" s="230">
        <f t="shared" si="44"/>
        <v>0</v>
      </c>
      <c r="M80" s="230">
        <f t="shared" si="44"/>
        <v>0</v>
      </c>
      <c r="N80" s="230">
        <f t="shared" si="44"/>
        <v>0</v>
      </c>
      <c r="O80" s="230">
        <f t="shared" si="44"/>
        <v>0</v>
      </c>
      <c r="P80" s="230">
        <f t="shared" si="44"/>
        <v>0</v>
      </c>
    </row>
    <row r="81" spans="1:16" x14ac:dyDescent="0.2">
      <c r="A81" s="210" t="s">
        <v>76</v>
      </c>
      <c r="B81" s="210"/>
      <c r="C81" s="210"/>
      <c r="D81" s="356" t="s">
        <v>30</v>
      </c>
      <c r="E81" s="230">
        <f t="shared" ref="E81:P81" si="45">+IF(E80-E68&gt;E75,IF(E80-E68&gt;E73,E73,E80-E68),0)</f>
        <v>0</v>
      </c>
      <c r="F81" s="230">
        <f t="shared" si="45"/>
        <v>0</v>
      </c>
      <c r="G81" s="230">
        <f t="shared" si="45"/>
        <v>0</v>
      </c>
      <c r="H81" s="230">
        <f t="shared" si="45"/>
        <v>0</v>
      </c>
      <c r="I81" s="230">
        <f t="shared" si="45"/>
        <v>0</v>
      </c>
      <c r="J81" s="230">
        <f t="shared" si="45"/>
        <v>0</v>
      </c>
      <c r="K81" s="230">
        <f t="shared" si="45"/>
        <v>0</v>
      </c>
      <c r="L81" s="230">
        <f t="shared" si="45"/>
        <v>0</v>
      </c>
      <c r="M81" s="230">
        <f t="shared" si="45"/>
        <v>0</v>
      </c>
      <c r="N81" s="230">
        <f t="shared" si="45"/>
        <v>0</v>
      </c>
      <c r="O81" s="230">
        <f t="shared" si="45"/>
        <v>0</v>
      </c>
      <c r="P81" s="230">
        <f t="shared" si="45"/>
        <v>0</v>
      </c>
    </row>
    <row r="82" spans="1:16" x14ac:dyDescent="0.2">
      <c r="A82" s="210" t="s">
        <v>79</v>
      </c>
      <c r="B82" s="210"/>
      <c r="C82" s="210"/>
      <c r="D82" s="356" t="s">
        <v>30</v>
      </c>
      <c r="E82" s="230">
        <f t="shared" ref="E82:P82" si="46">+IF(E81&gt;0,E80-E81-E68,0)</f>
        <v>0</v>
      </c>
      <c r="F82" s="230">
        <f t="shared" si="46"/>
        <v>0</v>
      </c>
      <c r="G82" s="230">
        <f t="shared" si="46"/>
        <v>0</v>
      </c>
      <c r="H82" s="230">
        <f t="shared" si="46"/>
        <v>0</v>
      </c>
      <c r="I82" s="230">
        <f t="shared" si="46"/>
        <v>0</v>
      </c>
      <c r="J82" s="230">
        <f t="shared" si="46"/>
        <v>0</v>
      </c>
      <c r="K82" s="230">
        <f t="shared" si="46"/>
        <v>0</v>
      </c>
      <c r="L82" s="230">
        <f t="shared" si="46"/>
        <v>0</v>
      </c>
      <c r="M82" s="230">
        <f t="shared" si="46"/>
        <v>0</v>
      </c>
      <c r="N82" s="230">
        <f t="shared" si="46"/>
        <v>0</v>
      </c>
      <c r="O82" s="230">
        <f t="shared" si="46"/>
        <v>0</v>
      </c>
      <c r="P82" s="230">
        <f t="shared" si="46"/>
        <v>0</v>
      </c>
    </row>
    <row r="83" spans="1:16" x14ac:dyDescent="0.2">
      <c r="A83" s="210" t="s">
        <v>76</v>
      </c>
      <c r="B83" s="210"/>
      <c r="C83" s="210"/>
      <c r="D83" s="356" t="s">
        <v>30</v>
      </c>
      <c r="E83" s="230">
        <f t="shared" ref="E83:P83" si="47">+IF(E82-E68&gt;E75,IF(E82-E68&gt;E73,E73,E82-E68),0)</f>
        <v>0</v>
      </c>
      <c r="F83" s="230">
        <f t="shared" si="47"/>
        <v>0</v>
      </c>
      <c r="G83" s="230">
        <f t="shared" si="47"/>
        <v>0</v>
      </c>
      <c r="H83" s="230">
        <f t="shared" si="47"/>
        <v>0</v>
      </c>
      <c r="I83" s="230">
        <f t="shared" si="47"/>
        <v>0</v>
      </c>
      <c r="J83" s="230">
        <f t="shared" si="47"/>
        <v>0</v>
      </c>
      <c r="K83" s="230">
        <f t="shared" si="47"/>
        <v>0</v>
      </c>
      <c r="L83" s="230">
        <f t="shared" si="47"/>
        <v>0</v>
      </c>
      <c r="M83" s="230">
        <f t="shared" si="47"/>
        <v>0</v>
      </c>
      <c r="N83" s="230">
        <f t="shared" si="47"/>
        <v>0</v>
      </c>
      <c r="O83" s="230">
        <f t="shared" si="47"/>
        <v>0</v>
      </c>
      <c r="P83" s="230">
        <f t="shared" si="47"/>
        <v>0</v>
      </c>
    </row>
    <row r="84" spans="1:16" x14ac:dyDescent="0.2">
      <c r="A84" s="210"/>
      <c r="B84" s="210"/>
      <c r="C84" s="210"/>
      <c r="D84" s="356"/>
      <c r="E84" s="228"/>
      <c r="F84" s="228"/>
      <c r="G84" s="228"/>
      <c r="H84" s="228"/>
      <c r="I84" s="228"/>
      <c r="J84" s="228"/>
      <c r="K84" s="228"/>
      <c r="L84" s="228"/>
      <c r="M84" s="228"/>
      <c r="N84" s="228"/>
      <c r="O84" s="228"/>
      <c r="P84" s="228"/>
    </row>
    <row r="85" spans="1:16" x14ac:dyDescent="0.2">
      <c r="A85" s="353" t="s">
        <v>194</v>
      </c>
      <c r="B85" s="210"/>
      <c r="C85" s="210"/>
      <c r="D85" s="356" t="s">
        <v>81</v>
      </c>
      <c r="E85" s="228">
        <f t="shared" ref="E85:P85" si="48">IF(E72=0,0,+(E83+E81+E79+E77+E73)/E72)</f>
        <v>1.9999999999999998</v>
      </c>
      <c r="F85" s="228">
        <f t="shared" si="48"/>
        <v>1.9999999999999998</v>
      </c>
      <c r="G85" s="228">
        <f t="shared" si="48"/>
        <v>1.9999999999999998</v>
      </c>
      <c r="H85" s="228">
        <f t="shared" si="48"/>
        <v>1.9999999999999998</v>
      </c>
      <c r="I85" s="228">
        <f t="shared" si="48"/>
        <v>1.9999999999999998</v>
      </c>
      <c r="J85" s="228">
        <f t="shared" si="48"/>
        <v>1.9999999999999998</v>
      </c>
      <c r="K85" s="228">
        <f t="shared" si="48"/>
        <v>1.9999999999999998</v>
      </c>
      <c r="L85" s="228">
        <f t="shared" si="48"/>
        <v>1.9999999999999998</v>
      </c>
      <c r="M85" s="228">
        <f t="shared" si="48"/>
        <v>1.9999999999999998</v>
      </c>
      <c r="N85" s="228">
        <f t="shared" si="48"/>
        <v>1.9999999999999998</v>
      </c>
      <c r="O85" s="228">
        <f t="shared" si="48"/>
        <v>1.9999999999999998</v>
      </c>
      <c r="P85" s="228">
        <f t="shared" si="48"/>
        <v>1.9999999999999998</v>
      </c>
    </row>
    <row r="86" spans="1:16" x14ac:dyDescent="0.2">
      <c r="A86" s="353" t="s">
        <v>195</v>
      </c>
      <c r="B86" s="210"/>
      <c r="C86" s="210"/>
      <c r="D86" s="356" t="s">
        <v>82</v>
      </c>
      <c r="E86" s="228">
        <f t="shared" ref="E86:P86" si="49">+E85*E60</f>
        <v>8.1599999999999984</v>
      </c>
      <c r="F86" s="228">
        <f t="shared" si="49"/>
        <v>8.1599999999999984</v>
      </c>
      <c r="G86" s="228">
        <f t="shared" si="49"/>
        <v>8.1599999999999984</v>
      </c>
      <c r="H86" s="228">
        <f t="shared" si="49"/>
        <v>8.1599999999999984</v>
      </c>
      <c r="I86" s="228">
        <f t="shared" si="49"/>
        <v>8.1599999999999984</v>
      </c>
      <c r="J86" s="228">
        <f t="shared" si="49"/>
        <v>8.1599999999999984</v>
      </c>
      <c r="K86" s="228">
        <f t="shared" si="49"/>
        <v>8.1599999999999984</v>
      </c>
      <c r="L86" s="228">
        <f t="shared" si="49"/>
        <v>8.1599999999999984</v>
      </c>
      <c r="M86" s="228">
        <f t="shared" si="49"/>
        <v>8.1599999999999984</v>
      </c>
      <c r="N86" s="228">
        <f t="shared" si="49"/>
        <v>8.1599999999999984</v>
      </c>
      <c r="O86" s="228">
        <f t="shared" si="49"/>
        <v>8.1599999999999984</v>
      </c>
      <c r="P86" s="228">
        <f t="shared" si="49"/>
        <v>8.1599999999999984</v>
      </c>
    </row>
    <row r="87" spans="1:16" x14ac:dyDescent="0.2">
      <c r="A87" s="210"/>
      <c r="B87" s="210"/>
      <c r="C87" s="210"/>
      <c r="D87" s="356"/>
      <c r="E87" s="219"/>
      <c r="F87" s="219"/>
      <c r="G87" s="219"/>
      <c r="H87" s="219"/>
      <c r="I87" s="219"/>
      <c r="J87" s="219"/>
      <c r="K87" s="219"/>
      <c r="L87" s="219"/>
      <c r="M87" s="219"/>
      <c r="N87" s="219"/>
      <c r="O87" s="219"/>
      <c r="P87" s="219"/>
    </row>
    <row r="88" spans="1:16" ht="13.5" customHeight="1" x14ac:dyDescent="0.2">
      <c r="A88" s="208" t="s">
        <v>52</v>
      </c>
      <c r="B88" s="208"/>
      <c r="C88" s="208"/>
      <c r="D88" s="356"/>
      <c r="E88" s="213"/>
      <c r="F88" s="213"/>
      <c r="G88" s="213"/>
      <c r="H88" s="213"/>
      <c r="I88" s="213"/>
      <c r="J88" s="213"/>
      <c r="K88" s="213"/>
      <c r="L88" s="211"/>
      <c r="M88" s="211"/>
      <c r="N88" s="211"/>
      <c r="O88" s="211"/>
      <c r="P88" s="210"/>
    </row>
    <row r="89" spans="1:16" x14ac:dyDescent="0.2">
      <c r="A89" s="353" t="s">
        <v>196</v>
      </c>
      <c r="B89" s="210"/>
      <c r="C89" s="210"/>
      <c r="D89" s="356" t="s">
        <v>84</v>
      </c>
      <c r="E89" s="227">
        <f t="shared" ref="E89:P89" si="50">E90/E61</f>
        <v>0.3080250199627364</v>
      </c>
      <c r="F89" s="227">
        <f t="shared" si="50"/>
        <v>0.3080250199627364</v>
      </c>
      <c r="G89" s="227">
        <f t="shared" si="50"/>
        <v>0.3080250199627364</v>
      </c>
      <c r="H89" s="227">
        <f t="shared" si="50"/>
        <v>0.3080250199627364</v>
      </c>
      <c r="I89" s="227">
        <f t="shared" si="50"/>
        <v>0.3080250199627364</v>
      </c>
      <c r="J89" s="227">
        <f t="shared" si="50"/>
        <v>0.3080250199627364</v>
      </c>
      <c r="K89" s="227">
        <f t="shared" si="50"/>
        <v>0.3080250199627364</v>
      </c>
      <c r="L89" s="227">
        <f t="shared" si="50"/>
        <v>0.3080250199627364</v>
      </c>
      <c r="M89" s="227">
        <f t="shared" si="50"/>
        <v>0.3080250199627364</v>
      </c>
      <c r="N89" s="227">
        <f t="shared" si="50"/>
        <v>0.3080250199627364</v>
      </c>
      <c r="O89" s="227">
        <f t="shared" si="50"/>
        <v>0.3080250199627364</v>
      </c>
      <c r="P89" s="227">
        <f t="shared" si="50"/>
        <v>0.3080250199627364</v>
      </c>
    </row>
    <row r="90" spans="1:16" x14ac:dyDescent="0.2">
      <c r="A90" s="353" t="s">
        <v>197</v>
      </c>
      <c r="B90" s="208"/>
      <c r="C90" s="208"/>
      <c r="D90" s="356" t="s">
        <v>84</v>
      </c>
      <c r="E90" s="227">
        <f t="shared" ref="E90:P90" si="51">IF(E86=0,0,E21/E38/E86)</f>
        <v>0.26182126696832592</v>
      </c>
      <c r="F90" s="227">
        <f t="shared" si="51"/>
        <v>0.26182126696832592</v>
      </c>
      <c r="G90" s="227">
        <f t="shared" si="51"/>
        <v>0.26182126696832592</v>
      </c>
      <c r="H90" s="227">
        <f t="shared" si="51"/>
        <v>0.26182126696832592</v>
      </c>
      <c r="I90" s="227">
        <f t="shared" si="51"/>
        <v>0.26182126696832592</v>
      </c>
      <c r="J90" s="227">
        <f t="shared" si="51"/>
        <v>0.26182126696832592</v>
      </c>
      <c r="K90" s="227">
        <f t="shared" si="51"/>
        <v>0.26182126696832592</v>
      </c>
      <c r="L90" s="227">
        <f t="shared" si="51"/>
        <v>0.26182126696832592</v>
      </c>
      <c r="M90" s="227">
        <f t="shared" si="51"/>
        <v>0.26182126696832592</v>
      </c>
      <c r="N90" s="227">
        <f t="shared" si="51"/>
        <v>0.26182126696832592</v>
      </c>
      <c r="O90" s="227">
        <f t="shared" si="51"/>
        <v>0.26182126696832592</v>
      </c>
      <c r="P90" s="227">
        <f t="shared" si="51"/>
        <v>0.26182126696832592</v>
      </c>
    </row>
    <row r="91" spans="1:16" x14ac:dyDescent="0.2">
      <c r="A91" s="353" t="s">
        <v>198</v>
      </c>
      <c r="B91" s="231"/>
      <c r="C91" s="210"/>
      <c r="D91" s="356" t="s">
        <v>84</v>
      </c>
      <c r="E91" s="232">
        <f t="shared" ref="E91:P91" si="52">+ROUNDUP(E89,1)</f>
        <v>0.4</v>
      </c>
      <c r="F91" s="232">
        <f t="shared" si="52"/>
        <v>0.4</v>
      </c>
      <c r="G91" s="232">
        <f t="shared" si="52"/>
        <v>0.4</v>
      </c>
      <c r="H91" s="232">
        <f t="shared" si="52"/>
        <v>0.4</v>
      </c>
      <c r="I91" s="232">
        <f t="shared" si="52"/>
        <v>0.4</v>
      </c>
      <c r="J91" s="232">
        <f t="shared" si="52"/>
        <v>0.4</v>
      </c>
      <c r="K91" s="232">
        <f t="shared" si="52"/>
        <v>0.4</v>
      </c>
      <c r="L91" s="232">
        <f t="shared" si="52"/>
        <v>0.4</v>
      </c>
      <c r="M91" s="232">
        <f t="shared" si="52"/>
        <v>0.4</v>
      </c>
      <c r="N91" s="232">
        <f t="shared" si="52"/>
        <v>0.4</v>
      </c>
      <c r="O91" s="232">
        <f t="shared" si="52"/>
        <v>0.4</v>
      </c>
      <c r="P91" s="232">
        <f t="shared" si="52"/>
        <v>0.4</v>
      </c>
    </row>
    <row r="92" spans="1:16" x14ac:dyDescent="0.2">
      <c r="D92" s="359"/>
      <c r="E92" s="88"/>
      <c r="F92" s="88"/>
      <c r="G92" s="88"/>
      <c r="H92" s="88"/>
      <c r="I92" s="88"/>
      <c r="J92" s="88"/>
      <c r="K92" s="88"/>
      <c r="L92" s="88"/>
      <c r="M92" s="88"/>
      <c r="N92" s="88"/>
      <c r="O92" s="88"/>
      <c r="P92" s="88"/>
    </row>
    <row r="93" spans="1:16" ht="18.75" x14ac:dyDescent="0.3">
      <c r="A93" s="355" t="s">
        <v>218</v>
      </c>
      <c r="B93" s="355" t="str">
        <f>'Изходни данни'!A5</f>
        <v>малки населени места (до 3000 жители)</v>
      </c>
      <c r="C93" s="233"/>
      <c r="D93" s="363"/>
      <c r="E93" s="234"/>
      <c r="F93" s="234"/>
      <c r="G93" s="234"/>
      <c r="H93" s="234"/>
      <c r="I93" s="234"/>
      <c r="J93" s="234"/>
      <c r="K93" s="234"/>
      <c r="L93" s="233"/>
      <c r="M93" s="233"/>
      <c r="N93" s="233"/>
      <c r="O93" s="233"/>
      <c r="P93" s="233"/>
    </row>
    <row r="94" spans="1:16" x14ac:dyDescent="0.2">
      <c r="A94" s="369" t="str">
        <f>A19</f>
        <v>Обслужвано население</v>
      </c>
      <c r="B94" s="235"/>
      <c r="C94" s="235"/>
      <c r="D94" s="364" t="s">
        <v>129</v>
      </c>
      <c r="E94" s="237">
        <f t="shared" ref="E94:P94" si="53">E12</f>
        <v>10000</v>
      </c>
      <c r="F94" s="237">
        <f t="shared" si="53"/>
        <v>10000</v>
      </c>
      <c r="G94" s="237">
        <f t="shared" si="53"/>
        <v>10000</v>
      </c>
      <c r="H94" s="237">
        <f t="shared" si="53"/>
        <v>10000</v>
      </c>
      <c r="I94" s="237">
        <f t="shared" si="53"/>
        <v>10000</v>
      </c>
      <c r="J94" s="237">
        <f t="shared" si="53"/>
        <v>10000</v>
      </c>
      <c r="K94" s="237">
        <f t="shared" si="53"/>
        <v>10000</v>
      </c>
      <c r="L94" s="237">
        <f t="shared" si="53"/>
        <v>10000</v>
      </c>
      <c r="M94" s="237">
        <f t="shared" si="53"/>
        <v>10000</v>
      </c>
      <c r="N94" s="237">
        <f t="shared" si="53"/>
        <v>10000</v>
      </c>
      <c r="O94" s="237">
        <f t="shared" si="53"/>
        <v>10000</v>
      </c>
      <c r="P94" s="237">
        <f t="shared" si="53"/>
        <v>10000</v>
      </c>
    </row>
    <row r="95" spans="1:16" x14ac:dyDescent="0.2">
      <c r="A95" s="235"/>
      <c r="B95" s="235"/>
      <c r="C95" s="235"/>
      <c r="D95" s="357"/>
      <c r="E95" s="238"/>
      <c r="F95" s="238"/>
      <c r="G95" s="238"/>
      <c r="H95" s="238"/>
      <c r="I95" s="238"/>
      <c r="J95" s="238"/>
      <c r="K95" s="238"/>
      <c r="L95" s="238"/>
      <c r="M95" s="238"/>
      <c r="N95" s="238"/>
      <c r="O95" s="238"/>
      <c r="P95" s="238"/>
    </row>
    <row r="96" spans="1:16" x14ac:dyDescent="0.2">
      <c r="A96" s="239" t="s">
        <v>21</v>
      </c>
      <c r="B96" s="239"/>
      <c r="C96" s="239"/>
      <c r="D96" s="357" t="s">
        <v>22</v>
      </c>
      <c r="E96" s="237">
        <f t="shared" ref="E96:P96" si="54">E97+E98+E99</f>
        <v>393.96375</v>
      </c>
      <c r="F96" s="237">
        <f t="shared" si="54"/>
        <v>393.96375</v>
      </c>
      <c r="G96" s="237">
        <f t="shared" si="54"/>
        <v>393.96375</v>
      </c>
      <c r="H96" s="237">
        <f t="shared" si="54"/>
        <v>393.96375</v>
      </c>
      <c r="I96" s="237">
        <f t="shared" si="54"/>
        <v>393.96375</v>
      </c>
      <c r="J96" s="237">
        <f t="shared" si="54"/>
        <v>393.96375</v>
      </c>
      <c r="K96" s="237">
        <f t="shared" si="54"/>
        <v>393.96375</v>
      </c>
      <c r="L96" s="237">
        <f t="shared" si="54"/>
        <v>393.96375</v>
      </c>
      <c r="M96" s="237">
        <f t="shared" si="54"/>
        <v>393.96375</v>
      </c>
      <c r="N96" s="237">
        <f t="shared" si="54"/>
        <v>393.96375</v>
      </c>
      <c r="O96" s="237">
        <f t="shared" si="54"/>
        <v>393.96375</v>
      </c>
      <c r="P96" s="237">
        <f t="shared" si="54"/>
        <v>393.96375</v>
      </c>
    </row>
    <row r="97" spans="1:16" x14ac:dyDescent="0.2">
      <c r="A97" s="235" t="s">
        <v>23</v>
      </c>
      <c r="B97" s="235"/>
      <c r="C97" s="235"/>
      <c r="D97" s="357" t="s">
        <v>24</v>
      </c>
      <c r="E97" s="236">
        <f>'Масов баланс'!E271+'Масов баланс'!E273+'Масов баланс'!E274+'Масов баланс'!E276+'Масов баланс'!E277</f>
        <v>260.625</v>
      </c>
      <c r="F97" s="236">
        <f>'Масов баланс'!F271+'Масов баланс'!F273+'Масов баланс'!F274+'Масов баланс'!F276+'Масов баланс'!F277</f>
        <v>260.625</v>
      </c>
      <c r="G97" s="236">
        <f>'Масов баланс'!G271+'Масов баланс'!G273+'Масов баланс'!G274+'Масов баланс'!G276+'Масов баланс'!G277</f>
        <v>260.625</v>
      </c>
      <c r="H97" s="236">
        <f>'Масов баланс'!H271+'Масов баланс'!H273+'Масов баланс'!H274+'Масов баланс'!H276+'Масов баланс'!H277</f>
        <v>260.625</v>
      </c>
      <c r="I97" s="236">
        <f>'Масов баланс'!I271+'Масов баланс'!I273+'Масов баланс'!I274+'Масов баланс'!I276+'Масов баланс'!I277</f>
        <v>260.625</v>
      </c>
      <c r="J97" s="236">
        <f>'Масов баланс'!J271+'Масов баланс'!J273+'Масов баланс'!J274+'Масов баланс'!J276+'Масов баланс'!J277</f>
        <v>260.625</v>
      </c>
      <c r="K97" s="236">
        <f>'Масов баланс'!K271+'Масов баланс'!K273+'Масов баланс'!K274+'Масов баланс'!K276+'Масов баланс'!K277</f>
        <v>260.625</v>
      </c>
      <c r="L97" s="236">
        <f>'Масов баланс'!L271+'Масов баланс'!L273+'Масов баланс'!L274+'Масов баланс'!L276+'Масов баланс'!L277</f>
        <v>260.625</v>
      </c>
      <c r="M97" s="236">
        <f>'Масов баланс'!M271+'Масов баланс'!M273+'Масов баланс'!M274+'Масов баланс'!M276+'Масов баланс'!M277</f>
        <v>260.625</v>
      </c>
      <c r="N97" s="236">
        <f>'Масов баланс'!N271+'Масов баланс'!N273+'Масов баланс'!N274+'Масов баланс'!N276+'Масов баланс'!N277</f>
        <v>260.625</v>
      </c>
      <c r="O97" s="236">
        <f>'Масов баланс'!O271+'Масов баланс'!O273+'Масов баланс'!O274+'Масов баланс'!O276+'Масов баланс'!O277</f>
        <v>260.625</v>
      </c>
      <c r="P97" s="236">
        <f>'Масов баланс'!P271+'Масов баланс'!P273+'Масов баланс'!P274+'Масов баланс'!P276+'Масов баланс'!P277</f>
        <v>260.625</v>
      </c>
    </row>
    <row r="98" spans="1:16" x14ac:dyDescent="0.2">
      <c r="A98" s="370" t="str">
        <f>A23</f>
        <v>Отпадъци от търговски обекти и юридически лица, събирани съвместно с отпадъците от домакинствата</v>
      </c>
      <c r="B98" s="235"/>
      <c r="C98" s="235"/>
      <c r="D98" s="357" t="s">
        <v>24</v>
      </c>
      <c r="E98" s="236">
        <f>'Масов баланс'!E272+'Масов баланс'!E275+'Масов баланс'!E278</f>
        <v>31.200000000000003</v>
      </c>
      <c r="F98" s="236">
        <f>'Масов баланс'!F272+'Масов баланс'!F275+'Масов баланс'!F278</f>
        <v>31.200000000000003</v>
      </c>
      <c r="G98" s="236">
        <f>'Масов баланс'!G272+'Масов баланс'!G275+'Масов баланс'!G278</f>
        <v>31.200000000000003</v>
      </c>
      <c r="H98" s="236">
        <f>'Масов баланс'!H272+'Масов баланс'!H275+'Масов баланс'!H278</f>
        <v>31.200000000000003</v>
      </c>
      <c r="I98" s="236">
        <f>'Масов баланс'!I272+'Масов баланс'!I275+'Масов баланс'!I278</f>
        <v>31.200000000000003</v>
      </c>
      <c r="J98" s="236">
        <f>'Масов баланс'!J272+'Масов баланс'!J275+'Масов баланс'!J278</f>
        <v>31.200000000000003</v>
      </c>
      <c r="K98" s="236">
        <f>'Масов баланс'!K272+'Масов баланс'!K275+'Масов баланс'!K278</f>
        <v>31.200000000000003</v>
      </c>
      <c r="L98" s="236">
        <f>'Масов баланс'!L272+'Масов баланс'!L275+'Масов баланс'!L278</f>
        <v>31.200000000000003</v>
      </c>
      <c r="M98" s="236">
        <f>'Масов баланс'!M272+'Масов баланс'!M275+'Масов баланс'!M278</f>
        <v>31.200000000000003</v>
      </c>
      <c r="N98" s="236">
        <f>'Масов баланс'!N272+'Масов баланс'!N275+'Масов баланс'!N278</f>
        <v>31.200000000000003</v>
      </c>
      <c r="O98" s="236">
        <f>'Масов баланс'!O272+'Масов баланс'!O275+'Масов баланс'!O278</f>
        <v>31.200000000000003</v>
      </c>
      <c r="P98" s="236">
        <f>'Масов баланс'!P272+'Масов баланс'!P275+'Масов баланс'!P278</f>
        <v>31.200000000000003</v>
      </c>
    </row>
    <row r="99" spans="1:16" x14ac:dyDescent="0.2">
      <c r="A99" s="370" t="str">
        <f>A24</f>
        <v>Смесени отпадъци и други примеси изхвърлени в контейнерите за разделно събиране</v>
      </c>
      <c r="B99" s="235"/>
      <c r="C99" s="235"/>
      <c r="D99" s="357" t="s">
        <v>24</v>
      </c>
      <c r="E99" s="236">
        <f>'Масов баланс'!E280</f>
        <v>102.13874999999999</v>
      </c>
      <c r="F99" s="236">
        <f>'Масов баланс'!F280</f>
        <v>102.13874999999999</v>
      </c>
      <c r="G99" s="236">
        <f>'Масов баланс'!G280</f>
        <v>102.13874999999999</v>
      </c>
      <c r="H99" s="236">
        <f>'Масов баланс'!H280</f>
        <v>102.13874999999999</v>
      </c>
      <c r="I99" s="236">
        <f>'Масов баланс'!I280</f>
        <v>102.13874999999999</v>
      </c>
      <c r="J99" s="236">
        <f>'Масов баланс'!J280</f>
        <v>102.13874999999999</v>
      </c>
      <c r="K99" s="236">
        <f>'Масов баланс'!K280</f>
        <v>102.13874999999999</v>
      </c>
      <c r="L99" s="236">
        <f>'Масов баланс'!L280</f>
        <v>102.13874999999999</v>
      </c>
      <c r="M99" s="236">
        <f>'Масов баланс'!M280</f>
        <v>102.13874999999999</v>
      </c>
      <c r="N99" s="236">
        <f>'Масов баланс'!N280</f>
        <v>102.13874999999999</v>
      </c>
      <c r="O99" s="236">
        <f>'Масов баланс'!O280</f>
        <v>102.13874999999999</v>
      </c>
      <c r="P99" s="236">
        <f>'Масов баланс'!P280</f>
        <v>102.13874999999999</v>
      </c>
    </row>
    <row r="100" spans="1:16" x14ac:dyDescent="0.2">
      <c r="A100" s="370" t="str">
        <f>A25</f>
        <v>% отпадъци от търговски обекти</v>
      </c>
      <c r="B100" s="235"/>
      <c r="C100" s="235"/>
      <c r="D100" s="357"/>
      <c r="E100" s="240">
        <f t="shared" ref="E100:P100" si="55">IF(E96&lt;1,0,E98/E96)</f>
        <v>7.9195103610421022E-2</v>
      </c>
      <c r="F100" s="240">
        <f t="shared" si="55"/>
        <v>7.9195103610421022E-2</v>
      </c>
      <c r="G100" s="240">
        <f t="shared" si="55"/>
        <v>7.9195103610421022E-2</v>
      </c>
      <c r="H100" s="240">
        <f t="shared" si="55"/>
        <v>7.9195103610421022E-2</v>
      </c>
      <c r="I100" s="240">
        <f t="shared" si="55"/>
        <v>7.9195103610421022E-2</v>
      </c>
      <c r="J100" s="240">
        <f t="shared" si="55"/>
        <v>7.9195103610421022E-2</v>
      </c>
      <c r="K100" s="240">
        <f t="shared" si="55"/>
        <v>7.9195103610421022E-2</v>
      </c>
      <c r="L100" s="240">
        <f t="shared" si="55"/>
        <v>7.9195103610421022E-2</v>
      </c>
      <c r="M100" s="240">
        <f t="shared" si="55"/>
        <v>7.9195103610421022E-2</v>
      </c>
      <c r="N100" s="240">
        <f t="shared" si="55"/>
        <v>7.9195103610421022E-2</v>
      </c>
      <c r="O100" s="240">
        <f t="shared" si="55"/>
        <v>7.9195103610421022E-2</v>
      </c>
      <c r="P100" s="240">
        <f t="shared" si="55"/>
        <v>7.9195103610421022E-2</v>
      </c>
    </row>
    <row r="101" spans="1:16" x14ac:dyDescent="0.2">
      <c r="A101" s="235"/>
      <c r="B101" s="241"/>
      <c r="C101" s="235"/>
      <c r="D101" s="365"/>
      <c r="E101" s="236"/>
      <c r="F101" s="236"/>
      <c r="G101" s="236"/>
      <c r="H101" s="236"/>
      <c r="I101" s="236"/>
      <c r="J101" s="236"/>
      <c r="K101" s="236"/>
      <c r="L101" s="236"/>
      <c r="M101" s="242"/>
      <c r="N101" s="242"/>
      <c r="O101" s="238"/>
      <c r="P101" s="238"/>
    </row>
    <row r="102" spans="1:16" x14ac:dyDescent="0.2">
      <c r="A102" s="369" t="s">
        <v>26</v>
      </c>
      <c r="B102" s="235"/>
      <c r="C102" s="235"/>
      <c r="D102" s="357"/>
      <c r="E102" s="236"/>
      <c r="F102" s="236"/>
      <c r="G102" s="236"/>
      <c r="H102" s="236"/>
      <c r="I102" s="236"/>
      <c r="J102" s="236"/>
      <c r="K102" s="236"/>
      <c r="L102" s="242"/>
      <c r="M102" s="242"/>
      <c r="N102" s="242"/>
      <c r="O102" s="238"/>
      <c r="P102" s="238"/>
    </row>
    <row r="103" spans="1:16" x14ac:dyDescent="0.2">
      <c r="A103" s="235" t="s">
        <v>27</v>
      </c>
      <c r="B103" s="235"/>
      <c r="C103" s="235"/>
      <c r="D103" s="357" t="s">
        <v>28</v>
      </c>
      <c r="E103" s="235">
        <f t="shared" ref="E103:P103" si="56">E28</f>
        <v>5</v>
      </c>
      <c r="F103" s="235">
        <f t="shared" si="56"/>
        <v>5</v>
      </c>
      <c r="G103" s="235">
        <f t="shared" si="56"/>
        <v>5</v>
      </c>
      <c r="H103" s="235">
        <f t="shared" si="56"/>
        <v>5</v>
      </c>
      <c r="I103" s="235">
        <f t="shared" si="56"/>
        <v>5</v>
      </c>
      <c r="J103" s="235">
        <f t="shared" si="56"/>
        <v>5</v>
      </c>
      <c r="K103" s="235">
        <f t="shared" si="56"/>
        <v>5</v>
      </c>
      <c r="L103" s="235">
        <f t="shared" si="56"/>
        <v>5</v>
      </c>
      <c r="M103" s="235">
        <f t="shared" si="56"/>
        <v>5</v>
      </c>
      <c r="N103" s="235">
        <f t="shared" si="56"/>
        <v>5</v>
      </c>
      <c r="O103" s="235">
        <f t="shared" si="56"/>
        <v>5</v>
      </c>
      <c r="P103" s="235">
        <f t="shared" si="56"/>
        <v>5</v>
      </c>
    </row>
    <row r="104" spans="1:16" x14ac:dyDescent="0.2">
      <c r="A104" s="235" t="s">
        <v>29</v>
      </c>
      <c r="B104" s="235"/>
      <c r="C104" s="235"/>
      <c r="D104" s="357" t="s">
        <v>30</v>
      </c>
      <c r="E104" s="235">
        <f t="shared" ref="E104:P104" si="57">E29</f>
        <v>8</v>
      </c>
      <c r="F104" s="235">
        <f t="shared" si="57"/>
        <v>8</v>
      </c>
      <c r="G104" s="235">
        <f t="shared" si="57"/>
        <v>8</v>
      </c>
      <c r="H104" s="235">
        <f t="shared" si="57"/>
        <v>8</v>
      </c>
      <c r="I104" s="235">
        <f t="shared" si="57"/>
        <v>8</v>
      </c>
      <c r="J104" s="235">
        <f t="shared" si="57"/>
        <v>8</v>
      </c>
      <c r="K104" s="235">
        <f t="shared" si="57"/>
        <v>8</v>
      </c>
      <c r="L104" s="235">
        <f t="shared" si="57"/>
        <v>8</v>
      </c>
      <c r="M104" s="235">
        <f t="shared" si="57"/>
        <v>8</v>
      </c>
      <c r="N104" s="235">
        <f t="shared" si="57"/>
        <v>8</v>
      </c>
      <c r="O104" s="235">
        <f t="shared" si="57"/>
        <v>8</v>
      </c>
      <c r="P104" s="235">
        <f t="shared" si="57"/>
        <v>8</v>
      </c>
    </row>
    <row r="105" spans="1:16" x14ac:dyDescent="0.2">
      <c r="A105" s="235" t="s">
        <v>31</v>
      </c>
      <c r="B105" s="235"/>
      <c r="C105" s="235"/>
      <c r="D105" s="357" t="s">
        <v>32</v>
      </c>
      <c r="E105" s="235">
        <f t="shared" ref="E105:P105" si="58">E30</f>
        <v>1</v>
      </c>
      <c r="F105" s="235">
        <f t="shared" si="58"/>
        <v>1</v>
      </c>
      <c r="G105" s="235">
        <f t="shared" si="58"/>
        <v>1</v>
      </c>
      <c r="H105" s="235">
        <f t="shared" si="58"/>
        <v>1</v>
      </c>
      <c r="I105" s="235">
        <f t="shared" si="58"/>
        <v>1</v>
      </c>
      <c r="J105" s="235">
        <f t="shared" si="58"/>
        <v>1</v>
      </c>
      <c r="K105" s="235">
        <f t="shared" si="58"/>
        <v>1</v>
      </c>
      <c r="L105" s="235">
        <f t="shared" si="58"/>
        <v>1</v>
      </c>
      <c r="M105" s="235">
        <f t="shared" si="58"/>
        <v>1</v>
      </c>
      <c r="N105" s="235">
        <f t="shared" si="58"/>
        <v>1</v>
      </c>
      <c r="O105" s="235">
        <f t="shared" si="58"/>
        <v>1</v>
      </c>
      <c r="P105" s="235">
        <f t="shared" si="58"/>
        <v>1</v>
      </c>
    </row>
    <row r="106" spans="1:16" x14ac:dyDescent="0.2">
      <c r="A106" s="235"/>
      <c r="B106" s="235"/>
      <c r="C106" s="235"/>
      <c r="D106" s="357"/>
      <c r="E106" s="235"/>
      <c r="F106" s="235"/>
      <c r="G106" s="235"/>
      <c r="H106" s="235"/>
      <c r="I106" s="235"/>
      <c r="J106" s="235"/>
      <c r="K106" s="235"/>
      <c r="L106" s="235"/>
      <c r="M106" s="235"/>
      <c r="N106" s="235"/>
      <c r="O106" s="235"/>
      <c r="P106" s="235"/>
    </row>
    <row r="107" spans="1:16" x14ac:dyDescent="0.2">
      <c r="A107" s="239" t="s">
        <v>33</v>
      </c>
      <c r="B107" s="235"/>
      <c r="C107" s="235"/>
      <c r="D107" s="357"/>
      <c r="E107" s="235"/>
      <c r="F107" s="235"/>
      <c r="G107" s="235"/>
      <c r="H107" s="235"/>
      <c r="I107" s="235"/>
      <c r="J107" s="235"/>
      <c r="K107" s="235"/>
      <c r="L107" s="235"/>
      <c r="M107" s="235"/>
      <c r="N107" s="235"/>
      <c r="O107" s="235"/>
      <c r="P107" s="235"/>
    </row>
    <row r="108" spans="1:16" x14ac:dyDescent="0.2">
      <c r="A108" s="370" t="str">
        <f t="shared" ref="A108:A114" si="59">A33</f>
        <v>Работни седмици в годината</v>
      </c>
      <c r="B108" s="235"/>
      <c r="C108" s="235"/>
      <c r="D108" s="357" t="s">
        <v>34</v>
      </c>
      <c r="E108" s="235">
        <f t="shared" ref="E108:P108" si="60">E33</f>
        <v>46</v>
      </c>
      <c r="F108" s="235">
        <f t="shared" si="60"/>
        <v>46</v>
      </c>
      <c r="G108" s="235">
        <f t="shared" si="60"/>
        <v>46</v>
      </c>
      <c r="H108" s="235">
        <f t="shared" si="60"/>
        <v>46</v>
      </c>
      <c r="I108" s="235">
        <f t="shared" si="60"/>
        <v>46</v>
      </c>
      <c r="J108" s="235">
        <f t="shared" si="60"/>
        <v>46</v>
      </c>
      <c r="K108" s="235">
        <f t="shared" si="60"/>
        <v>46</v>
      </c>
      <c r="L108" s="235">
        <f t="shared" si="60"/>
        <v>46</v>
      </c>
      <c r="M108" s="235">
        <f t="shared" si="60"/>
        <v>46</v>
      </c>
      <c r="N108" s="235">
        <f t="shared" si="60"/>
        <v>46</v>
      </c>
      <c r="O108" s="235">
        <f t="shared" si="60"/>
        <v>46</v>
      </c>
      <c r="P108" s="235">
        <f t="shared" si="60"/>
        <v>46</v>
      </c>
    </row>
    <row r="109" spans="1:16" x14ac:dyDescent="0.2">
      <c r="A109" s="370" t="str">
        <f t="shared" si="59"/>
        <v>Работни дни седмично</v>
      </c>
      <c r="B109" s="235"/>
      <c r="C109" s="235"/>
      <c r="D109" s="357" t="s">
        <v>28</v>
      </c>
      <c r="E109" s="235">
        <f t="shared" ref="E109:P109" si="61">E34</f>
        <v>5</v>
      </c>
      <c r="F109" s="235">
        <f t="shared" si="61"/>
        <v>5</v>
      </c>
      <c r="G109" s="235">
        <f t="shared" si="61"/>
        <v>5</v>
      </c>
      <c r="H109" s="235">
        <f t="shared" si="61"/>
        <v>5</v>
      </c>
      <c r="I109" s="235">
        <f t="shared" si="61"/>
        <v>5</v>
      </c>
      <c r="J109" s="235">
        <f t="shared" si="61"/>
        <v>5</v>
      </c>
      <c r="K109" s="235">
        <f t="shared" si="61"/>
        <v>5</v>
      </c>
      <c r="L109" s="235">
        <f t="shared" si="61"/>
        <v>5</v>
      </c>
      <c r="M109" s="235">
        <f t="shared" si="61"/>
        <v>5</v>
      </c>
      <c r="N109" s="235">
        <f t="shared" si="61"/>
        <v>5</v>
      </c>
      <c r="O109" s="235">
        <f t="shared" si="61"/>
        <v>5</v>
      </c>
      <c r="P109" s="235">
        <f t="shared" si="61"/>
        <v>5</v>
      </c>
    </row>
    <row r="110" spans="1:16" x14ac:dyDescent="0.2">
      <c r="A110" s="370" t="str">
        <f t="shared" si="59"/>
        <v>Болнични</v>
      </c>
      <c r="B110" s="235"/>
      <c r="C110" s="235"/>
      <c r="D110" s="357"/>
      <c r="E110" s="243">
        <f t="shared" ref="E110:P110" si="62">E35</f>
        <v>0.05</v>
      </c>
      <c r="F110" s="243">
        <f t="shared" si="62"/>
        <v>0.05</v>
      </c>
      <c r="G110" s="243">
        <f t="shared" si="62"/>
        <v>0.05</v>
      </c>
      <c r="H110" s="243">
        <f t="shared" si="62"/>
        <v>0.05</v>
      </c>
      <c r="I110" s="243">
        <f t="shared" si="62"/>
        <v>0.05</v>
      </c>
      <c r="J110" s="243">
        <f t="shared" si="62"/>
        <v>0.05</v>
      </c>
      <c r="K110" s="243">
        <f t="shared" si="62"/>
        <v>0.05</v>
      </c>
      <c r="L110" s="243">
        <f t="shared" si="62"/>
        <v>0.05</v>
      </c>
      <c r="M110" s="243">
        <f t="shared" si="62"/>
        <v>0.05</v>
      </c>
      <c r="N110" s="243">
        <f t="shared" si="62"/>
        <v>0.05</v>
      </c>
      <c r="O110" s="243">
        <f t="shared" si="62"/>
        <v>0.05</v>
      </c>
      <c r="P110" s="243">
        <f t="shared" si="62"/>
        <v>0.05</v>
      </c>
    </row>
    <row r="111" spans="1:16" x14ac:dyDescent="0.2">
      <c r="A111" s="370" t="str">
        <f t="shared" si="59"/>
        <v>Работни дни в годината</v>
      </c>
      <c r="B111" s="235"/>
      <c r="C111" s="235"/>
      <c r="D111" s="357" t="s">
        <v>37</v>
      </c>
      <c r="E111" s="235">
        <f t="shared" ref="E111:P111" si="63">+E108*E109*(1-E110)</f>
        <v>218.5</v>
      </c>
      <c r="F111" s="235">
        <f t="shared" si="63"/>
        <v>218.5</v>
      </c>
      <c r="G111" s="235">
        <f t="shared" si="63"/>
        <v>218.5</v>
      </c>
      <c r="H111" s="235">
        <f t="shared" si="63"/>
        <v>218.5</v>
      </c>
      <c r="I111" s="235">
        <f t="shared" si="63"/>
        <v>218.5</v>
      </c>
      <c r="J111" s="235">
        <f t="shared" si="63"/>
        <v>218.5</v>
      </c>
      <c r="K111" s="235">
        <f t="shared" si="63"/>
        <v>218.5</v>
      </c>
      <c r="L111" s="235">
        <f t="shared" si="63"/>
        <v>218.5</v>
      </c>
      <c r="M111" s="235">
        <f t="shared" si="63"/>
        <v>218.5</v>
      </c>
      <c r="N111" s="235">
        <f t="shared" si="63"/>
        <v>218.5</v>
      </c>
      <c r="O111" s="235">
        <f t="shared" si="63"/>
        <v>218.5</v>
      </c>
      <c r="P111" s="235">
        <f t="shared" si="63"/>
        <v>218.5</v>
      </c>
    </row>
    <row r="112" spans="1:16" x14ac:dyDescent="0.2">
      <c r="A112" s="370" t="str">
        <f t="shared" si="59"/>
        <v>Работни дни седмично</v>
      </c>
      <c r="B112" s="235"/>
      <c r="C112" s="235"/>
      <c r="D112" s="357" t="s">
        <v>28</v>
      </c>
      <c r="E112" s="235">
        <f t="shared" ref="E112:P112" si="64">+E103</f>
        <v>5</v>
      </c>
      <c r="F112" s="235">
        <f t="shared" si="64"/>
        <v>5</v>
      </c>
      <c r="G112" s="235">
        <f t="shared" si="64"/>
        <v>5</v>
      </c>
      <c r="H112" s="235">
        <f t="shared" si="64"/>
        <v>5</v>
      </c>
      <c r="I112" s="235">
        <f t="shared" si="64"/>
        <v>5</v>
      </c>
      <c r="J112" s="235">
        <f t="shared" si="64"/>
        <v>5</v>
      </c>
      <c r="K112" s="235">
        <f t="shared" si="64"/>
        <v>5</v>
      </c>
      <c r="L112" s="235">
        <f t="shared" si="64"/>
        <v>5</v>
      </c>
      <c r="M112" s="235">
        <f t="shared" si="64"/>
        <v>5</v>
      </c>
      <c r="N112" s="235">
        <f t="shared" si="64"/>
        <v>5</v>
      </c>
      <c r="O112" s="235">
        <f t="shared" si="64"/>
        <v>5</v>
      </c>
      <c r="P112" s="235">
        <f t="shared" si="64"/>
        <v>5</v>
      </c>
    </row>
    <row r="113" spans="1:16" x14ac:dyDescent="0.2">
      <c r="A113" s="370" t="str">
        <f t="shared" si="59"/>
        <v>Необходими работни дни</v>
      </c>
      <c r="B113" s="235"/>
      <c r="C113" s="235"/>
      <c r="D113" s="357" t="s">
        <v>37</v>
      </c>
      <c r="E113" s="235">
        <f t="shared" ref="E113:P113" si="65">52*E112</f>
        <v>260</v>
      </c>
      <c r="F113" s="235">
        <f t="shared" si="65"/>
        <v>260</v>
      </c>
      <c r="G113" s="235">
        <f t="shared" si="65"/>
        <v>260</v>
      </c>
      <c r="H113" s="235">
        <f t="shared" si="65"/>
        <v>260</v>
      </c>
      <c r="I113" s="235">
        <f t="shared" si="65"/>
        <v>260</v>
      </c>
      <c r="J113" s="235">
        <f t="shared" si="65"/>
        <v>260</v>
      </c>
      <c r="K113" s="235">
        <f t="shared" si="65"/>
        <v>260</v>
      </c>
      <c r="L113" s="235">
        <f t="shared" si="65"/>
        <v>260</v>
      </c>
      <c r="M113" s="235">
        <f t="shared" si="65"/>
        <v>260</v>
      </c>
      <c r="N113" s="235">
        <f t="shared" si="65"/>
        <v>260</v>
      </c>
      <c r="O113" s="235">
        <f t="shared" si="65"/>
        <v>260</v>
      </c>
      <c r="P113" s="235">
        <f t="shared" si="65"/>
        <v>260</v>
      </c>
    </row>
    <row r="114" spans="1:16" x14ac:dyDescent="0.2">
      <c r="A114" s="370" t="str">
        <f t="shared" si="59"/>
        <v>Човешки фактор</v>
      </c>
      <c r="B114" s="235"/>
      <c r="C114" s="235"/>
      <c r="D114" s="357"/>
      <c r="E114" s="243">
        <f t="shared" ref="E114:P114" si="66">+E113/E111</f>
        <v>1.1899313501144164</v>
      </c>
      <c r="F114" s="243">
        <f t="shared" si="66"/>
        <v>1.1899313501144164</v>
      </c>
      <c r="G114" s="243">
        <f t="shared" si="66"/>
        <v>1.1899313501144164</v>
      </c>
      <c r="H114" s="243">
        <f t="shared" si="66"/>
        <v>1.1899313501144164</v>
      </c>
      <c r="I114" s="243">
        <f t="shared" si="66"/>
        <v>1.1899313501144164</v>
      </c>
      <c r="J114" s="243">
        <f t="shared" si="66"/>
        <v>1.1899313501144164</v>
      </c>
      <c r="K114" s="243">
        <f t="shared" si="66"/>
        <v>1.1899313501144164</v>
      </c>
      <c r="L114" s="243">
        <f t="shared" si="66"/>
        <v>1.1899313501144164</v>
      </c>
      <c r="M114" s="243">
        <f t="shared" si="66"/>
        <v>1.1899313501144164</v>
      </c>
      <c r="N114" s="243">
        <f t="shared" si="66"/>
        <v>1.1899313501144164</v>
      </c>
      <c r="O114" s="243">
        <f t="shared" si="66"/>
        <v>1.1899313501144164</v>
      </c>
      <c r="P114" s="243">
        <f t="shared" si="66"/>
        <v>1.1899313501144164</v>
      </c>
    </row>
    <row r="115" spans="1:16" x14ac:dyDescent="0.2">
      <c r="A115" s="235"/>
      <c r="B115" s="235"/>
      <c r="C115" s="235"/>
      <c r="D115" s="357"/>
      <c r="E115" s="238"/>
      <c r="F115" s="238"/>
      <c r="G115" s="238"/>
      <c r="H115" s="238"/>
      <c r="I115" s="238"/>
      <c r="J115" s="238"/>
      <c r="K115" s="238"/>
      <c r="L115" s="235"/>
      <c r="M115" s="235"/>
      <c r="N115" s="235"/>
      <c r="O115" s="235"/>
      <c r="P115" s="235"/>
    </row>
    <row r="116" spans="1:16" x14ac:dyDescent="0.2">
      <c r="A116" s="239" t="s">
        <v>40</v>
      </c>
      <c r="B116" s="235"/>
      <c r="C116" s="235"/>
      <c r="D116" s="357"/>
      <c r="E116" s="244"/>
      <c r="F116" s="244"/>
      <c r="G116" s="244"/>
      <c r="H116" s="244"/>
      <c r="I116" s="244"/>
      <c r="J116" s="244"/>
      <c r="K116" s="244"/>
      <c r="L116" s="244"/>
      <c r="M116" s="244"/>
      <c r="N116" s="244"/>
      <c r="O116" s="244"/>
      <c r="P116" s="244"/>
    </row>
    <row r="117" spans="1:16" x14ac:dyDescent="0.2">
      <c r="A117" s="370" t="str">
        <f t="shared" ref="A117:A126" si="67">A42</f>
        <v>Плътност на отпадъците</v>
      </c>
      <c r="B117" s="235"/>
      <c r="C117" s="235"/>
      <c r="D117" s="357" t="s">
        <v>41</v>
      </c>
      <c r="E117" s="242">
        <f>'Масов баланс'!E268</f>
        <v>6.8187269767840314E-2</v>
      </c>
      <c r="F117" s="242">
        <f>'Масов баланс'!F268</f>
        <v>6.8187269767840314E-2</v>
      </c>
      <c r="G117" s="242">
        <f>'Масов баланс'!G268</f>
        <v>6.8187269767840314E-2</v>
      </c>
      <c r="H117" s="242">
        <f>'Масов баланс'!H268</f>
        <v>6.8187269767840314E-2</v>
      </c>
      <c r="I117" s="242">
        <f>'Масов баланс'!I268</f>
        <v>6.8187269767840314E-2</v>
      </c>
      <c r="J117" s="242">
        <f>'Масов баланс'!J268</f>
        <v>6.8187269767840314E-2</v>
      </c>
      <c r="K117" s="242">
        <f>'Масов баланс'!K268</f>
        <v>6.8187269767840314E-2</v>
      </c>
      <c r="L117" s="242">
        <f>'Масов баланс'!L268</f>
        <v>6.8187269767840314E-2</v>
      </c>
      <c r="M117" s="242">
        <f>'Масов баланс'!M268</f>
        <v>6.8187269767840314E-2</v>
      </c>
      <c r="N117" s="242">
        <f>'Масов баланс'!N268</f>
        <v>6.8187269767840314E-2</v>
      </c>
      <c r="O117" s="242">
        <f>'Масов баланс'!O268</f>
        <v>6.8187269767840314E-2</v>
      </c>
      <c r="P117" s="242">
        <f>'Масов баланс'!P268</f>
        <v>6.8187269767840314E-2</v>
      </c>
    </row>
    <row r="118" spans="1:16" ht="15" x14ac:dyDescent="0.2">
      <c r="A118" s="370" t="str">
        <f t="shared" si="67"/>
        <v>Обем на отпадъците</v>
      </c>
      <c r="B118" s="235"/>
      <c r="C118" s="235"/>
      <c r="D118" s="357" t="s">
        <v>202</v>
      </c>
      <c r="E118" s="245">
        <f t="shared" ref="E118:P118" si="68">IF(E96=0,0,E96/E117)</f>
        <v>5777.6730369369934</v>
      </c>
      <c r="F118" s="245">
        <f t="shared" si="68"/>
        <v>5777.6730369369934</v>
      </c>
      <c r="G118" s="245">
        <f t="shared" si="68"/>
        <v>5777.6730369369934</v>
      </c>
      <c r="H118" s="245">
        <f t="shared" si="68"/>
        <v>5777.6730369369934</v>
      </c>
      <c r="I118" s="245">
        <f t="shared" si="68"/>
        <v>5777.6730369369934</v>
      </c>
      <c r="J118" s="245">
        <f t="shared" si="68"/>
        <v>5777.6730369369934</v>
      </c>
      <c r="K118" s="245">
        <f t="shared" si="68"/>
        <v>5777.6730369369934</v>
      </c>
      <c r="L118" s="245">
        <f t="shared" si="68"/>
        <v>5777.6730369369934</v>
      </c>
      <c r="M118" s="245">
        <f t="shared" si="68"/>
        <v>5777.6730369369934</v>
      </c>
      <c r="N118" s="245">
        <f t="shared" si="68"/>
        <v>5777.6730369369934</v>
      </c>
      <c r="O118" s="245">
        <f t="shared" si="68"/>
        <v>5777.6730369369934</v>
      </c>
      <c r="P118" s="245">
        <f t="shared" si="68"/>
        <v>5777.6730369369934</v>
      </c>
    </row>
    <row r="119" spans="1:16" ht="15" x14ac:dyDescent="0.2">
      <c r="A119" s="370" t="str">
        <f t="shared" si="67"/>
        <v>Обем на съдовете</v>
      </c>
      <c r="B119" s="235"/>
      <c r="C119" s="235"/>
      <c r="D119" s="357" t="s">
        <v>203</v>
      </c>
      <c r="E119" s="235">
        <f t="shared" ref="E119:P119" si="69">E44</f>
        <v>1.1000000000000001</v>
      </c>
      <c r="F119" s="235">
        <f t="shared" si="69"/>
        <v>1.1000000000000001</v>
      </c>
      <c r="G119" s="235">
        <f t="shared" si="69"/>
        <v>1.1000000000000001</v>
      </c>
      <c r="H119" s="235">
        <f t="shared" si="69"/>
        <v>1.1000000000000001</v>
      </c>
      <c r="I119" s="235">
        <f t="shared" si="69"/>
        <v>1.1000000000000001</v>
      </c>
      <c r="J119" s="235">
        <f t="shared" si="69"/>
        <v>1.1000000000000001</v>
      </c>
      <c r="K119" s="235">
        <f t="shared" si="69"/>
        <v>1.1000000000000001</v>
      </c>
      <c r="L119" s="235">
        <f t="shared" si="69"/>
        <v>1.1000000000000001</v>
      </c>
      <c r="M119" s="235">
        <f t="shared" si="69"/>
        <v>1.1000000000000001</v>
      </c>
      <c r="N119" s="235">
        <f t="shared" si="69"/>
        <v>1.1000000000000001</v>
      </c>
      <c r="O119" s="235">
        <f t="shared" si="69"/>
        <v>1.1000000000000001</v>
      </c>
      <c r="P119" s="235">
        <f t="shared" si="69"/>
        <v>1.1000000000000001</v>
      </c>
    </row>
    <row r="120" spans="1:16" x14ac:dyDescent="0.2">
      <c r="A120" s="370" t="str">
        <f t="shared" si="67"/>
        <v>Честота на събиране годишно</v>
      </c>
      <c r="B120" s="235"/>
      <c r="C120" s="235"/>
      <c r="D120" s="357" t="s">
        <v>45</v>
      </c>
      <c r="E120" s="244">
        <f>Допускания!C32</f>
        <v>52</v>
      </c>
      <c r="F120" s="244">
        <f t="shared" ref="F120:P120" si="70">E120</f>
        <v>52</v>
      </c>
      <c r="G120" s="244">
        <f t="shared" si="70"/>
        <v>52</v>
      </c>
      <c r="H120" s="244">
        <f t="shared" si="70"/>
        <v>52</v>
      </c>
      <c r="I120" s="244">
        <f t="shared" si="70"/>
        <v>52</v>
      </c>
      <c r="J120" s="244">
        <f t="shared" si="70"/>
        <v>52</v>
      </c>
      <c r="K120" s="244">
        <f t="shared" si="70"/>
        <v>52</v>
      </c>
      <c r="L120" s="244">
        <f t="shared" si="70"/>
        <v>52</v>
      </c>
      <c r="M120" s="244">
        <f t="shared" si="70"/>
        <v>52</v>
      </c>
      <c r="N120" s="244">
        <f t="shared" si="70"/>
        <v>52</v>
      </c>
      <c r="O120" s="244">
        <f t="shared" si="70"/>
        <v>52</v>
      </c>
      <c r="P120" s="244">
        <f t="shared" si="70"/>
        <v>52</v>
      </c>
    </row>
    <row r="121" spans="1:16" x14ac:dyDescent="0.2">
      <c r="A121" s="370" t="str">
        <f t="shared" si="67"/>
        <v>Средна запълненост на контейнерите</v>
      </c>
      <c r="B121" s="235"/>
      <c r="C121" s="235"/>
      <c r="D121" s="357" t="s">
        <v>19</v>
      </c>
      <c r="E121" s="246">
        <f t="shared" ref="E121:P121" si="71">E46</f>
        <v>0.9</v>
      </c>
      <c r="F121" s="246">
        <f t="shared" si="71"/>
        <v>0.9</v>
      </c>
      <c r="G121" s="246">
        <f t="shared" si="71"/>
        <v>0.9</v>
      </c>
      <c r="H121" s="246">
        <f t="shared" si="71"/>
        <v>0.9</v>
      </c>
      <c r="I121" s="246">
        <f t="shared" si="71"/>
        <v>0.9</v>
      </c>
      <c r="J121" s="246">
        <f t="shared" si="71"/>
        <v>0.9</v>
      </c>
      <c r="K121" s="246">
        <f t="shared" si="71"/>
        <v>0.9</v>
      </c>
      <c r="L121" s="246">
        <f t="shared" si="71"/>
        <v>0.9</v>
      </c>
      <c r="M121" s="246">
        <f t="shared" si="71"/>
        <v>0.9</v>
      </c>
      <c r="N121" s="246">
        <f t="shared" si="71"/>
        <v>0.9</v>
      </c>
      <c r="O121" s="246">
        <f t="shared" si="71"/>
        <v>0.9</v>
      </c>
      <c r="P121" s="246">
        <f t="shared" si="71"/>
        <v>0.9</v>
      </c>
    </row>
    <row r="122" spans="1:16" x14ac:dyDescent="0.2">
      <c r="A122" s="370" t="str">
        <f t="shared" si="67"/>
        <v>Коефициент на неравномерност</v>
      </c>
      <c r="B122" s="235"/>
      <c r="C122" s="235"/>
      <c r="D122" s="357"/>
      <c r="E122" s="235">
        <f>E47</f>
        <v>1.2</v>
      </c>
      <c r="F122" s="235">
        <f>E122</f>
        <v>1.2</v>
      </c>
      <c r="G122" s="235">
        <f t="shared" ref="G122:P122" si="72">F122</f>
        <v>1.2</v>
      </c>
      <c r="H122" s="235">
        <f t="shared" si="72"/>
        <v>1.2</v>
      </c>
      <c r="I122" s="235">
        <f t="shared" si="72"/>
        <v>1.2</v>
      </c>
      <c r="J122" s="235">
        <f t="shared" si="72"/>
        <v>1.2</v>
      </c>
      <c r="K122" s="235">
        <f t="shared" si="72"/>
        <v>1.2</v>
      </c>
      <c r="L122" s="235">
        <f t="shared" si="72"/>
        <v>1.2</v>
      </c>
      <c r="M122" s="235">
        <f t="shared" si="72"/>
        <v>1.2</v>
      </c>
      <c r="N122" s="235">
        <f t="shared" si="72"/>
        <v>1.2</v>
      </c>
      <c r="O122" s="235">
        <f t="shared" si="72"/>
        <v>1.2</v>
      </c>
      <c r="P122" s="235">
        <f t="shared" si="72"/>
        <v>1.2</v>
      </c>
    </row>
    <row r="123" spans="1:16" x14ac:dyDescent="0.2">
      <c r="A123" s="370" t="str">
        <f t="shared" si="67"/>
        <v>Необходим брой контейнери</v>
      </c>
      <c r="B123" s="235"/>
      <c r="C123" s="235"/>
      <c r="D123" s="357" t="s">
        <v>49</v>
      </c>
      <c r="E123" s="235">
        <f t="shared" ref="E123:P123" si="73">IF(E96=0,0,ROUNDUP((E118/E121/E119)*E122/E120,))</f>
        <v>135</v>
      </c>
      <c r="F123" s="235">
        <f t="shared" si="73"/>
        <v>135</v>
      </c>
      <c r="G123" s="235">
        <f t="shared" si="73"/>
        <v>135</v>
      </c>
      <c r="H123" s="235">
        <f t="shared" si="73"/>
        <v>135</v>
      </c>
      <c r="I123" s="235">
        <f t="shared" si="73"/>
        <v>135</v>
      </c>
      <c r="J123" s="235">
        <f t="shared" si="73"/>
        <v>135</v>
      </c>
      <c r="K123" s="235">
        <f t="shared" si="73"/>
        <v>135</v>
      </c>
      <c r="L123" s="235">
        <f t="shared" si="73"/>
        <v>135</v>
      </c>
      <c r="M123" s="235">
        <f t="shared" si="73"/>
        <v>135</v>
      </c>
      <c r="N123" s="235">
        <f t="shared" si="73"/>
        <v>135</v>
      </c>
      <c r="O123" s="235">
        <f t="shared" si="73"/>
        <v>135</v>
      </c>
      <c r="P123" s="235">
        <f t="shared" si="73"/>
        <v>135</v>
      </c>
    </row>
    <row r="124" spans="1:16" x14ac:dyDescent="0.2">
      <c r="A124" s="370" t="str">
        <f t="shared" si="67"/>
        <v>Контейнери за разполагане</v>
      </c>
      <c r="B124" s="235"/>
      <c r="C124" s="235"/>
      <c r="D124" s="357" t="s">
        <v>49</v>
      </c>
      <c r="E124" s="235">
        <f t="shared" ref="E124:P124" si="74">MAX(E199,E123,E48)</f>
        <v>142</v>
      </c>
      <c r="F124" s="235">
        <f t="shared" si="74"/>
        <v>142</v>
      </c>
      <c r="G124" s="235">
        <f t="shared" si="74"/>
        <v>142</v>
      </c>
      <c r="H124" s="235">
        <f t="shared" si="74"/>
        <v>142</v>
      </c>
      <c r="I124" s="235">
        <f t="shared" si="74"/>
        <v>142</v>
      </c>
      <c r="J124" s="235">
        <f t="shared" si="74"/>
        <v>142</v>
      </c>
      <c r="K124" s="235">
        <f t="shared" si="74"/>
        <v>142</v>
      </c>
      <c r="L124" s="235">
        <f t="shared" si="74"/>
        <v>142</v>
      </c>
      <c r="M124" s="235">
        <f t="shared" si="74"/>
        <v>142</v>
      </c>
      <c r="N124" s="235">
        <f t="shared" si="74"/>
        <v>142</v>
      </c>
      <c r="O124" s="235">
        <f t="shared" si="74"/>
        <v>142</v>
      </c>
      <c r="P124" s="235">
        <f t="shared" si="74"/>
        <v>142</v>
      </c>
    </row>
    <row r="125" spans="1:16" ht="15" x14ac:dyDescent="0.2">
      <c r="A125" s="370" t="str">
        <f t="shared" si="67"/>
        <v>Среден обем на отпадъците във вдигнат контейнер</v>
      </c>
      <c r="B125" s="247"/>
      <c r="C125" s="247"/>
      <c r="D125" s="357" t="s">
        <v>203</v>
      </c>
      <c r="E125" s="248">
        <f t="shared" ref="E125:P125" si="75">IF(E124=0,0,E118/E124/E120)</f>
        <v>0.78245842862093629</v>
      </c>
      <c r="F125" s="248">
        <f t="shared" si="75"/>
        <v>0.78245842862093629</v>
      </c>
      <c r="G125" s="248">
        <f t="shared" si="75"/>
        <v>0.78245842862093629</v>
      </c>
      <c r="H125" s="248">
        <f t="shared" si="75"/>
        <v>0.78245842862093629</v>
      </c>
      <c r="I125" s="248">
        <f t="shared" si="75"/>
        <v>0.78245842862093629</v>
      </c>
      <c r="J125" s="248">
        <f t="shared" si="75"/>
        <v>0.78245842862093629</v>
      </c>
      <c r="K125" s="248">
        <f t="shared" si="75"/>
        <v>0.78245842862093629</v>
      </c>
      <c r="L125" s="248">
        <f t="shared" si="75"/>
        <v>0.78245842862093629</v>
      </c>
      <c r="M125" s="248">
        <f t="shared" si="75"/>
        <v>0.78245842862093629</v>
      </c>
      <c r="N125" s="248">
        <f t="shared" si="75"/>
        <v>0.78245842862093629</v>
      </c>
      <c r="O125" s="248">
        <f t="shared" si="75"/>
        <v>0.78245842862093629</v>
      </c>
      <c r="P125" s="248">
        <f t="shared" si="75"/>
        <v>0.78245842862093629</v>
      </c>
    </row>
    <row r="126" spans="1:16" x14ac:dyDescent="0.2">
      <c r="A126" s="370" t="str">
        <f t="shared" si="67"/>
        <v>Средно количество отпадъци от вдигнат контейнер</v>
      </c>
      <c r="B126" s="247"/>
      <c r="C126" s="247"/>
      <c r="D126" s="357" t="s">
        <v>43</v>
      </c>
      <c r="E126" s="249">
        <f t="shared" ref="E126:P126" si="76">+E125*E117</f>
        <v>5.3353703954496207E-2</v>
      </c>
      <c r="F126" s="249">
        <f t="shared" si="76"/>
        <v>5.3353703954496207E-2</v>
      </c>
      <c r="G126" s="249">
        <f t="shared" si="76"/>
        <v>5.3353703954496207E-2</v>
      </c>
      <c r="H126" s="249">
        <f t="shared" si="76"/>
        <v>5.3353703954496207E-2</v>
      </c>
      <c r="I126" s="249">
        <f t="shared" si="76"/>
        <v>5.3353703954496207E-2</v>
      </c>
      <c r="J126" s="249">
        <f t="shared" si="76"/>
        <v>5.3353703954496207E-2</v>
      </c>
      <c r="K126" s="249">
        <f t="shared" si="76"/>
        <v>5.3353703954496207E-2</v>
      </c>
      <c r="L126" s="249">
        <f t="shared" si="76"/>
        <v>5.3353703954496207E-2</v>
      </c>
      <c r="M126" s="249">
        <f t="shared" si="76"/>
        <v>5.3353703954496207E-2</v>
      </c>
      <c r="N126" s="249">
        <f t="shared" si="76"/>
        <v>5.3353703954496207E-2</v>
      </c>
      <c r="O126" s="249">
        <f t="shared" si="76"/>
        <v>5.3353703954496207E-2</v>
      </c>
      <c r="P126" s="249">
        <f t="shared" si="76"/>
        <v>5.3353703954496207E-2</v>
      </c>
    </row>
    <row r="127" spans="1:16" x14ac:dyDescent="0.2">
      <c r="A127" s="235"/>
      <c r="B127" s="235"/>
      <c r="C127" s="235"/>
      <c r="D127" s="357"/>
      <c r="E127" s="250"/>
      <c r="F127" s="250"/>
      <c r="G127" s="250"/>
      <c r="H127" s="250"/>
      <c r="I127" s="250"/>
      <c r="J127" s="250"/>
      <c r="K127" s="250"/>
      <c r="L127" s="250"/>
      <c r="M127" s="250"/>
      <c r="N127" s="250"/>
      <c r="O127" s="250"/>
      <c r="P127" s="250"/>
    </row>
    <row r="128" spans="1:16" x14ac:dyDescent="0.2">
      <c r="A128" s="239" t="s">
        <v>48</v>
      </c>
      <c r="B128" s="235"/>
      <c r="C128" s="235"/>
      <c r="D128" s="357"/>
      <c r="E128" s="244">
        <f t="shared" ref="E128:P128" si="77">+E124*(1+E129)</f>
        <v>149.1</v>
      </c>
      <c r="F128" s="244">
        <f t="shared" si="77"/>
        <v>149.1</v>
      </c>
      <c r="G128" s="244">
        <f t="shared" si="77"/>
        <v>149.1</v>
      </c>
      <c r="H128" s="244">
        <f t="shared" si="77"/>
        <v>149.1</v>
      </c>
      <c r="I128" s="244">
        <f t="shared" si="77"/>
        <v>149.1</v>
      </c>
      <c r="J128" s="244">
        <f t="shared" si="77"/>
        <v>149.1</v>
      </c>
      <c r="K128" s="244">
        <f t="shared" si="77"/>
        <v>149.1</v>
      </c>
      <c r="L128" s="244">
        <f t="shared" si="77"/>
        <v>149.1</v>
      </c>
      <c r="M128" s="244">
        <f t="shared" si="77"/>
        <v>149.1</v>
      </c>
      <c r="N128" s="244">
        <f t="shared" si="77"/>
        <v>149.1</v>
      </c>
      <c r="O128" s="244">
        <f t="shared" si="77"/>
        <v>149.1</v>
      </c>
      <c r="P128" s="244">
        <f t="shared" si="77"/>
        <v>149.1</v>
      </c>
    </row>
    <row r="129" spans="1:16" x14ac:dyDescent="0.2">
      <c r="A129" s="370" t="str">
        <f>A54</f>
        <v>Резерви за поддръжка</v>
      </c>
      <c r="B129" s="235"/>
      <c r="C129" s="235"/>
      <c r="D129" s="357"/>
      <c r="E129" s="251">
        <f t="shared" ref="E129:P129" si="78">E54</f>
        <v>0.05</v>
      </c>
      <c r="F129" s="251">
        <f t="shared" si="78"/>
        <v>0.05</v>
      </c>
      <c r="G129" s="251">
        <f t="shared" si="78"/>
        <v>0.05</v>
      </c>
      <c r="H129" s="251">
        <f t="shared" si="78"/>
        <v>0.05</v>
      </c>
      <c r="I129" s="251">
        <f t="shared" si="78"/>
        <v>0.05</v>
      </c>
      <c r="J129" s="251">
        <f t="shared" si="78"/>
        <v>0.05</v>
      </c>
      <c r="K129" s="251">
        <f t="shared" si="78"/>
        <v>0.05</v>
      </c>
      <c r="L129" s="251">
        <f t="shared" si="78"/>
        <v>0.05</v>
      </c>
      <c r="M129" s="251">
        <f t="shared" si="78"/>
        <v>0.05</v>
      </c>
      <c r="N129" s="251">
        <f t="shared" si="78"/>
        <v>0.05</v>
      </c>
      <c r="O129" s="251">
        <f t="shared" si="78"/>
        <v>0.05</v>
      </c>
      <c r="P129" s="251">
        <f t="shared" si="78"/>
        <v>0.05</v>
      </c>
    </row>
    <row r="130" spans="1:16" x14ac:dyDescent="0.2">
      <c r="A130" s="370" t="str">
        <f>A55</f>
        <v>Среден брой необходими контейнери</v>
      </c>
      <c r="B130" s="235"/>
      <c r="C130" s="235"/>
      <c r="D130" s="357"/>
      <c r="E130" s="244">
        <f t="shared" ref="E130:P130" si="79">+E128</f>
        <v>149.1</v>
      </c>
      <c r="F130" s="244">
        <f t="shared" si="79"/>
        <v>149.1</v>
      </c>
      <c r="G130" s="244">
        <f t="shared" si="79"/>
        <v>149.1</v>
      </c>
      <c r="H130" s="244">
        <f t="shared" si="79"/>
        <v>149.1</v>
      </c>
      <c r="I130" s="244">
        <f t="shared" si="79"/>
        <v>149.1</v>
      </c>
      <c r="J130" s="244">
        <f t="shared" si="79"/>
        <v>149.1</v>
      </c>
      <c r="K130" s="244">
        <f t="shared" si="79"/>
        <v>149.1</v>
      </c>
      <c r="L130" s="244">
        <f t="shared" si="79"/>
        <v>149.1</v>
      </c>
      <c r="M130" s="244">
        <f t="shared" si="79"/>
        <v>149.1</v>
      </c>
      <c r="N130" s="244">
        <f t="shared" si="79"/>
        <v>149.1</v>
      </c>
      <c r="O130" s="244">
        <f t="shared" si="79"/>
        <v>149.1</v>
      </c>
      <c r="P130" s="244">
        <f t="shared" si="79"/>
        <v>149.1</v>
      </c>
    </row>
    <row r="131" spans="1:16" x14ac:dyDescent="0.2">
      <c r="A131" s="235"/>
      <c r="B131" s="235"/>
      <c r="C131" s="235"/>
      <c r="D131" s="357"/>
      <c r="E131" s="236"/>
      <c r="F131" s="236"/>
      <c r="G131" s="236"/>
      <c r="H131" s="236"/>
      <c r="I131" s="236"/>
      <c r="J131" s="236"/>
      <c r="K131" s="236"/>
      <c r="L131" s="236"/>
      <c r="M131" s="236"/>
      <c r="N131" s="236"/>
      <c r="O131" s="236"/>
      <c r="P131" s="236"/>
    </row>
    <row r="132" spans="1:16" x14ac:dyDescent="0.2">
      <c r="A132" s="239" t="s">
        <v>53</v>
      </c>
      <c r="B132" s="235"/>
      <c r="C132" s="235"/>
      <c r="D132" s="357"/>
      <c r="E132" s="252"/>
      <c r="F132" s="252"/>
      <c r="G132" s="252"/>
      <c r="H132" s="252"/>
      <c r="I132" s="252"/>
      <c r="J132" s="252"/>
      <c r="K132" s="252"/>
      <c r="L132" s="252"/>
      <c r="M132" s="252"/>
      <c r="N132" s="252"/>
      <c r="O132" s="252"/>
      <c r="P132" s="252"/>
    </row>
    <row r="133" spans="1:16" x14ac:dyDescent="0.2">
      <c r="A133" s="370" t="str">
        <f>A58</f>
        <v>Товароносимост</v>
      </c>
      <c r="B133" s="235"/>
      <c r="C133" s="235"/>
      <c r="D133" s="357" t="s">
        <v>22</v>
      </c>
      <c r="E133" s="252">
        <f>IF(Допускания!$C$5=2,Допускания!$C$45*0.4,Допускания!$C$45*0.2)</f>
        <v>3.2</v>
      </c>
      <c r="F133" s="252">
        <f t="shared" ref="F133:P133" si="80">+E133</f>
        <v>3.2</v>
      </c>
      <c r="G133" s="252">
        <f t="shared" si="80"/>
        <v>3.2</v>
      </c>
      <c r="H133" s="252">
        <f t="shared" si="80"/>
        <v>3.2</v>
      </c>
      <c r="I133" s="252">
        <f t="shared" si="80"/>
        <v>3.2</v>
      </c>
      <c r="J133" s="252">
        <f t="shared" si="80"/>
        <v>3.2</v>
      </c>
      <c r="K133" s="252">
        <f t="shared" si="80"/>
        <v>3.2</v>
      </c>
      <c r="L133" s="252">
        <f t="shared" si="80"/>
        <v>3.2</v>
      </c>
      <c r="M133" s="252">
        <f t="shared" si="80"/>
        <v>3.2</v>
      </c>
      <c r="N133" s="252">
        <f t="shared" si="80"/>
        <v>3.2</v>
      </c>
      <c r="O133" s="252">
        <f t="shared" si="80"/>
        <v>3.2</v>
      </c>
      <c r="P133" s="252">
        <f t="shared" si="80"/>
        <v>3.2</v>
      </c>
    </row>
    <row r="134" spans="1:16" x14ac:dyDescent="0.2">
      <c r="A134" s="370" t="str">
        <f>A59</f>
        <v>Оползотворяване на капацитета</v>
      </c>
      <c r="B134" s="235"/>
      <c r="C134" s="235"/>
      <c r="D134" s="357" t="s">
        <v>56</v>
      </c>
      <c r="E134" s="246">
        <v>0.85</v>
      </c>
      <c r="F134" s="246">
        <f t="shared" ref="F134:P134" si="81">+E134</f>
        <v>0.85</v>
      </c>
      <c r="G134" s="246">
        <f t="shared" si="81"/>
        <v>0.85</v>
      </c>
      <c r="H134" s="246">
        <f t="shared" si="81"/>
        <v>0.85</v>
      </c>
      <c r="I134" s="246">
        <f t="shared" si="81"/>
        <v>0.85</v>
      </c>
      <c r="J134" s="246">
        <f t="shared" si="81"/>
        <v>0.85</v>
      </c>
      <c r="K134" s="246">
        <f t="shared" si="81"/>
        <v>0.85</v>
      </c>
      <c r="L134" s="246">
        <f t="shared" si="81"/>
        <v>0.85</v>
      </c>
      <c r="M134" s="246">
        <f t="shared" si="81"/>
        <v>0.85</v>
      </c>
      <c r="N134" s="246">
        <f t="shared" si="81"/>
        <v>0.85</v>
      </c>
      <c r="O134" s="246">
        <f t="shared" si="81"/>
        <v>0.85</v>
      </c>
      <c r="P134" s="246">
        <f t="shared" si="81"/>
        <v>0.85</v>
      </c>
    </row>
    <row r="135" spans="1:16" x14ac:dyDescent="0.2">
      <c r="A135" s="370" t="str">
        <f>A60</f>
        <v>Средно опозотворен капацитет</v>
      </c>
      <c r="B135" s="235"/>
      <c r="C135" s="235"/>
      <c r="D135" s="357" t="s">
        <v>22</v>
      </c>
      <c r="E135" s="252">
        <f t="shared" ref="E135:P135" si="82">+E133*E134</f>
        <v>2.72</v>
      </c>
      <c r="F135" s="252">
        <f t="shared" si="82"/>
        <v>2.72</v>
      </c>
      <c r="G135" s="252">
        <f t="shared" si="82"/>
        <v>2.72</v>
      </c>
      <c r="H135" s="252">
        <f t="shared" si="82"/>
        <v>2.72</v>
      </c>
      <c r="I135" s="252">
        <f t="shared" si="82"/>
        <v>2.72</v>
      </c>
      <c r="J135" s="252">
        <f t="shared" si="82"/>
        <v>2.72</v>
      </c>
      <c r="K135" s="252">
        <f t="shared" si="82"/>
        <v>2.72</v>
      </c>
      <c r="L135" s="252">
        <f t="shared" si="82"/>
        <v>2.72</v>
      </c>
      <c r="M135" s="252">
        <f t="shared" si="82"/>
        <v>2.72</v>
      </c>
      <c r="N135" s="252">
        <f t="shared" si="82"/>
        <v>2.72</v>
      </c>
      <c r="O135" s="252">
        <f t="shared" si="82"/>
        <v>2.72</v>
      </c>
      <c r="P135" s="252">
        <f t="shared" si="82"/>
        <v>2.72</v>
      </c>
    </row>
    <row r="136" spans="1:16" x14ac:dyDescent="0.2">
      <c r="A136" s="370" t="str">
        <f>A61</f>
        <v>Наличност на автомобилите</v>
      </c>
      <c r="B136" s="235"/>
      <c r="C136" s="235"/>
      <c r="D136" s="357"/>
      <c r="E136" s="246">
        <v>0.85</v>
      </c>
      <c r="F136" s="246">
        <f t="shared" ref="F136:P136" si="83">+E136</f>
        <v>0.85</v>
      </c>
      <c r="G136" s="246">
        <f t="shared" si="83"/>
        <v>0.85</v>
      </c>
      <c r="H136" s="246">
        <f t="shared" si="83"/>
        <v>0.85</v>
      </c>
      <c r="I136" s="246">
        <f t="shared" si="83"/>
        <v>0.85</v>
      </c>
      <c r="J136" s="246">
        <f t="shared" si="83"/>
        <v>0.85</v>
      </c>
      <c r="K136" s="246">
        <f t="shared" si="83"/>
        <v>0.85</v>
      </c>
      <c r="L136" s="246">
        <f t="shared" si="83"/>
        <v>0.85</v>
      </c>
      <c r="M136" s="246">
        <f t="shared" si="83"/>
        <v>0.85</v>
      </c>
      <c r="N136" s="246">
        <f t="shared" si="83"/>
        <v>0.85</v>
      </c>
      <c r="O136" s="246">
        <f t="shared" si="83"/>
        <v>0.85</v>
      </c>
      <c r="P136" s="246">
        <f t="shared" si="83"/>
        <v>0.85</v>
      </c>
    </row>
    <row r="137" spans="1:16" x14ac:dyDescent="0.2">
      <c r="A137" s="235"/>
      <c r="B137" s="235"/>
      <c r="C137" s="235"/>
      <c r="D137" s="357"/>
      <c r="E137" s="246"/>
      <c r="F137" s="246"/>
      <c r="G137" s="246"/>
      <c r="H137" s="246"/>
      <c r="I137" s="246"/>
      <c r="J137" s="246"/>
      <c r="K137" s="246"/>
      <c r="L137" s="246"/>
      <c r="M137" s="246"/>
      <c r="N137" s="246"/>
      <c r="O137" s="246"/>
      <c r="P137" s="246"/>
    </row>
    <row r="138" spans="1:16" x14ac:dyDescent="0.2">
      <c r="A138" s="239" t="s">
        <v>59</v>
      </c>
      <c r="B138" s="235"/>
      <c r="C138" s="235"/>
      <c r="D138" s="357"/>
      <c r="E138" s="246"/>
      <c r="F138" s="246"/>
      <c r="G138" s="246"/>
      <c r="H138" s="246"/>
      <c r="I138" s="246"/>
      <c r="J138" s="246"/>
      <c r="K138" s="246"/>
      <c r="L138" s="246"/>
      <c r="M138" s="246"/>
      <c r="N138" s="246"/>
      <c r="O138" s="246"/>
      <c r="P138" s="246"/>
    </row>
    <row r="139" spans="1:16" x14ac:dyDescent="0.2">
      <c r="A139" s="370" t="str">
        <f t="shared" ref="A139:A161" si="84">A64</f>
        <v>Средно разстояние до площадката за разтоварване</v>
      </c>
      <c r="B139" s="235"/>
      <c r="C139" s="235"/>
      <c r="D139" s="357" t="s">
        <v>61</v>
      </c>
      <c r="E139" s="244">
        <f>E64</f>
        <v>20</v>
      </c>
      <c r="F139" s="244">
        <f t="shared" ref="F139:P139" si="85">+E139</f>
        <v>20</v>
      </c>
      <c r="G139" s="244">
        <f t="shared" si="85"/>
        <v>20</v>
      </c>
      <c r="H139" s="244">
        <f t="shared" si="85"/>
        <v>20</v>
      </c>
      <c r="I139" s="244">
        <f t="shared" si="85"/>
        <v>20</v>
      </c>
      <c r="J139" s="244">
        <f t="shared" si="85"/>
        <v>20</v>
      </c>
      <c r="K139" s="244">
        <f t="shared" si="85"/>
        <v>20</v>
      </c>
      <c r="L139" s="244">
        <f t="shared" si="85"/>
        <v>20</v>
      </c>
      <c r="M139" s="244">
        <f t="shared" si="85"/>
        <v>20</v>
      </c>
      <c r="N139" s="244">
        <f t="shared" si="85"/>
        <v>20</v>
      </c>
      <c r="O139" s="244">
        <f t="shared" si="85"/>
        <v>20</v>
      </c>
      <c r="P139" s="244">
        <f t="shared" si="85"/>
        <v>20</v>
      </c>
    </row>
    <row r="140" spans="1:16" x14ac:dyDescent="0.2">
      <c r="A140" s="370" t="str">
        <f t="shared" si="84"/>
        <v>Средна скорост при пътуване</v>
      </c>
      <c r="B140" s="235"/>
      <c r="C140" s="235"/>
      <c r="D140" s="357" t="s">
        <v>63</v>
      </c>
      <c r="E140" s="244">
        <f>E65</f>
        <v>30</v>
      </c>
      <c r="F140" s="244">
        <f t="shared" ref="F140:P140" si="86">E140</f>
        <v>30</v>
      </c>
      <c r="G140" s="244">
        <f t="shared" si="86"/>
        <v>30</v>
      </c>
      <c r="H140" s="244">
        <f t="shared" si="86"/>
        <v>30</v>
      </c>
      <c r="I140" s="244">
        <f t="shared" si="86"/>
        <v>30</v>
      </c>
      <c r="J140" s="244">
        <f t="shared" si="86"/>
        <v>30</v>
      </c>
      <c r="K140" s="244">
        <f t="shared" si="86"/>
        <v>30</v>
      </c>
      <c r="L140" s="244">
        <f t="shared" si="86"/>
        <v>30</v>
      </c>
      <c r="M140" s="244">
        <f t="shared" si="86"/>
        <v>30</v>
      </c>
      <c r="N140" s="244">
        <f t="shared" si="86"/>
        <v>30</v>
      </c>
      <c r="O140" s="244">
        <f t="shared" si="86"/>
        <v>30</v>
      </c>
      <c r="P140" s="244">
        <f t="shared" si="86"/>
        <v>30</v>
      </c>
    </row>
    <row r="141" spans="1:16" x14ac:dyDescent="0.2">
      <c r="A141" s="370" t="str">
        <f t="shared" si="84"/>
        <v>Средно време за път към и от площадката за разтоварване</v>
      </c>
      <c r="B141" s="235"/>
      <c r="C141" s="235"/>
      <c r="D141" s="357" t="s">
        <v>30</v>
      </c>
      <c r="E141" s="253">
        <f t="shared" ref="E141:P141" si="87">+E139*2/E140</f>
        <v>1.3333333333333333</v>
      </c>
      <c r="F141" s="253">
        <f t="shared" si="87"/>
        <v>1.3333333333333333</v>
      </c>
      <c r="G141" s="253">
        <f t="shared" si="87"/>
        <v>1.3333333333333333</v>
      </c>
      <c r="H141" s="253">
        <f t="shared" si="87"/>
        <v>1.3333333333333333</v>
      </c>
      <c r="I141" s="253">
        <f t="shared" si="87"/>
        <v>1.3333333333333333</v>
      </c>
      <c r="J141" s="253">
        <f t="shared" si="87"/>
        <v>1.3333333333333333</v>
      </c>
      <c r="K141" s="253">
        <f t="shared" si="87"/>
        <v>1.3333333333333333</v>
      </c>
      <c r="L141" s="253">
        <f t="shared" si="87"/>
        <v>1.3333333333333333</v>
      </c>
      <c r="M141" s="253">
        <f t="shared" si="87"/>
        <v>1.3333333333333333</v>
      </c>
      <c r="N141" s="253">
        <f t="shared" si="87"/>
        <v>1.3333333333333333</v>
      </c>
      <c r="O141" s="253">
        <f t="shared" si="87"/>
        <v>1.3333333333333333</v>
      </c>
      <c r="P141" s="253">
        <f t="shared" si="87"/>
        <v>1.3333333333333333</v>
      </c>
    </row>
    <row r="142" spans="1:16" s="373" customFormat="1" x14ac:dyDescent="0.2">
      <c r="A142" s="370" t="str">
        <f t="shared" si="84"/>
        <v>Средно време на площадката за разтоварване</v>
      </c>
      <c r="B142" s="370"/>
      <c r="C142" s="370"/>
      <c r="D142" s="357" t="s">
        <v>30</v>
      </c>
      <c r="E142" s="374">
        <f>E67</f>
        <v>0.5</v>
      </c>
      <c r="F142" s="374">
        <f t="shared" ref="F142:P142" si="88">E142</f>
        <v>0.5</v>
      </c>
      <c r="G142" s="374">
        <f t="shared" si="88"/>
        <v>0.5</v>
      </c>
      <c r="H142" s="374">
        <f t="shared" si="88"/>
        <v>0.5</v>
      </c>
      <c r="I142" s="374">
        <f t="shared" si="88"/>
        <v>0.5</v>
      </c>
      <c r="J142" s="374">
        <f t="shared" si="88"/>
        <v>0.5</v>
      </c>
      <c r="K142" s="374">
        <f t="shared" si="88"/>
        <v>0.5</v>
      </c>
      <c r="L142" s="374">
        <f t="shared" si="88"/>
        <v>0.5</v>
      </c>
      <c r="M142" s="374">
        <f t="shared" si="88"/>
        <v>0.5</v>
      </c>
      <c r="N142" s="374">
        <f t="shared" si="88"/>
        <v>0.5</v>
      </c>
      <c r="O142" s="374">
        <f t="shared" si="88"/>
        <v>0.5</v>
      </c>
      <c r="P142" s="374">
        <f t="shared" si="88"/>
        <v>0.5</v>
      </c>
    </row>
    <row r="143" spans="1:16" x14ac:dyDescent="0.2">
      <c r="A143" s="370" t="str">
        <f t="shared" si="84"/>
        <v>Общо време за пътуване/курс</v>
      </c>
      <c r="B143" s="235"/>
      <c r="C143" s="235"/>
      <c r="D143" s="357" t="s">
        <v>30</v>
      </c>
      <c r="E143" s="253">
        <f t="shared" ref="E143:P143" si="89">+E142+E141</f>
        <v>1.8333333333333333</v>
      </c>
      <c r="F143" s="253">
        <f t="shared" si="89"/>
        <v>1.8333333333333333</v>
      </c>
      <c r="G143" s="253">
        <f t="shared" si="89"/>
        <v>1.8333333333333333</v>
      </c>
      <c r="H143" s="253">
        <f t="shared" si="89"/>
        <v>1.8333333333333333</v>
      </c>
      <c r="I143" s="253">
        <f t="shared" si="89"/>
        <v>1.8333333333333333</v>
      </c>
      <c r="J143" s="253">
        <f t="shared" si="89"/>
        <v>1.8333333333333333</v>
      </c>
      <c r="K143" s="253">
        <f t="shared" si="89"/>
        <v>1.8333333333333333</v>
      </c>
      <c r="L143" s="253">
        <f t="shared" si="89"/>
        <v>1.8333333333333333</v>
      </c>
      <c r="M143" s="253">
        <f t="shared" si="89"/>
        <v>1.8333333333333333</v>
      </c>
      <c r="N143" s="253">
        <f t="shared" si="89"/>
        <v>1.8333333333333333</v>
      </c>
      <c r="O143" s="253">
        <f t="shared" si="89"/>
        <v>1.8333333333333333</v>
      </c>
      <c r="P143" s="253">
        <f t="shared" si="89"/>
        <v>1.8333333333333333</v>
      </c>
    </row>
    <row r="144" spans="1:16" x14ac:dyDescent="0.2">
      <c r="A144" s="370" t="str">
        <f t="shared" si="84"/>
        <v>Време за натоварване за един контейнер</v>
      </c>
      <c r="B144" s="235"/>
      <c r="C144" s="235"/>
      <c r="D144" s="357" t="s">
        <v>68</v>
      </c>
      <c r="E144" s="253">
        <f>E69</f>
        <v>1.5</v>
      </c>
      <c r="F144" s="253">
        <f t="shared" ref="F144:P144" si="90">+E144</f>
        <v>1.5</v>
      </c>
      <c r="G144" s="253">
        <f t="shared" si="90"/>
        <v>1.5</v>
      </c>
      <c r="H144" s="253">
        <f t="shared" si="90"/>
        <v>1.5</v>
      </c>
      <c r="I144" s="253">
        <f t="shared" si="90"/>
        <v>1.5</v>
      </c>
      <c r="J144" s="253">
        <f t="shared" si="90"/>
        <v>1.5</v>
      </c>
      <c r="K144" s="253">
        <f t="shared" si="90"/>
        <v>1.5</v>
      </c>
      <c r="L144" s="253">
        <f t="shared" si="90"/>
        <v>1.5</v>
      </c>
      <c r="M144" s="253">
        <f t="shared" si="90"/>
        <v>1.5</v>
      </c>
      <c r="N144" s="253">
        <f t="shared" si="90"/>
        <v>1.5</v>
      </c>
      <c r="O144" s="253">
        <f t="shared" si="90"/>
        <v>1.5</v>
      </c>
      <c r="P144" s="253">
        <f t="shared" si="90"/>
        <v>1.5</v>
      </c>
    </row>
    <row r="145" spans="1:16" x14ac:dyDescent="0.2">
      <c r="A145" s="370" t="str">
        <f t="shared" si="84"/>
        <v>Средно количество отпадъци от вдигнат контейнер</v>
      </c>
      <c r="B145" s="235"/>
      <c r="C145" s="235"/>
      <c r="D145" s="357" t="s">
        <v>43</v>
      </c>
      <c r="E145" s="254">
        <f t="shared" ref="E145:P145" si="91">+E126</f>
        <v>5.3353703954496207E-2</v>
      </c>
      <c r="F145" s="254">
        <f t="shared" si="91"/>
        <v>5.3353703954496207E-2</v>
      </c>
      <c r="G145" s="254">
        <f t="shared" si="91"/>
        <v>5.3353703954496207E-2</v>
      </c>
      <c r="H145" s="254">
        <f t="shared" si="91"/>
        <v>5.3353703954496207E-2</v>
      </c>
      <c r="I145" s="254">
        <f t="shared" si="91"/>
        <v>5.3353703954496207E-2</v>
      </c>
      <c r="J145" s="254">
        <f t="shared" si="91"/>
        <v>5.3353703954496207E-2</v>
      </c>
      <c r="K145" s="254">
        <f t="shared" si="91"/>
        <v>5.3353703954496207E-2</v>
      </c>
      <c r="L145" s="254">
        <f t="shared" si="91"/>
        <v>5.3353703954496207E-2</v>
      </c>
      <c r="M145" s="254">
        <f t="shared" si="91"/>
        <v>5.3353703954496207E-2</v>
      </c>
      <c r="N145" s="254">
        <f t="shared" si="91"/>
        <v>5.3353703954496207E-2</v>
      </c>
      <c r="O145" s="254">
        <f t="shared" si="91"/>
        <v>5.3353703954496207E-2</v>
      </c>
      <c r="P145" s="254">
        <f t="shared" si="91"/>
        <v>5.3353703954496207E-2</v>
      </c>
    </row>
    <row r="146" spans="1:16" x14ac:dyDescent="0.2">
      <c r="A146" s="370" t="str">
        <f t="shared" si="84"/>
        <v>Товаримост на час</v>
      </c>
      <c r="B146" s="235"/>
      <c r="C146" s="235"/>
      <c r="D146" s="357" t="s">
        <v>70</v>
      </c>
      <c r="E146" s="253">
        <f t="shared" ref="E146:P146" si="92">+E145*60/E144</f>
        <v>2.134148158179848</v>
      </c>
      <c r="F146" s="253">
        <f t="shared" si="92"/>
        <v>2.134148158179848</v>
      </c>
      <c r="G146" s="253">
        <f t="shared" si="92"/>
        <v>2.134148158179848</v>
      </c>
      <c r="H146" s="253">
        <f t="shared" si="92"/>
        <v>2.134148158179848</v>
      </c>
      <c r="I146" s="253">
        <f t="shared" si="92"/>
        <v>2.134148158179848</v>
      </c>
      <c r="J146" s="253">
        <f t="shared" si="92"/>
        <v>2.134148158179848</v>
      </c>
      <c r="K146" s="253">
        <f t="shared" si="92"/>
        <v>2.134148158179848</v>
      </c>
      <c r="L146" s="253">
        <f t="shared" si="92"/>
        <v>2.134148158179848</v>
      </c>
      <c r="M146" s="253">
        <f t="shared" si="92"/>
        <v>2.134148158179848</v>
      </c>
      <c r="N146" s="253">
        <f t="shared" si="92"/>
        <v>2.134148158179848</v>
      </c>
      <c r="O146" s="253">
        <f t="shared" si="92"/>
        <v>2.134148158179848</v>
      </c>
      <c r="P146" s="253">
        <f t="shared" si="92"/>
        <v>2.134148158179848</v>
      </c>
    </row>
    <row r="147" spans="1:16" x14ac:dyDescent="0.2">
      <c r="A147" s="370" t="str">
        <f t="shared" si="84"/>
        <v>Време за натоварване напълно на автомобила</v>
      </c>
      <c r="B147" s="235"/>
      <c r="C147" s="235"/>
      <c r="D147" s="357" t="s">
        <v>30</v>
      </c>
      <c r="E147" s="253">
        <f t="shared" ref="E147:P147" si="93">IF(E146=0,0,+E135/E146)</f>
        <v>1.2745132007703757</v>
      </c>
      <c r="F147" s="253">
        <f t="shared" si="93"/>
        <v>1.2745132007703757</v>
      </c>
      <c r="G147" s="253">
        <f t="shared" si="93"/>
        <v>1.2745132007703757</v>
      </c>
      <c r="H147" s="253">
        <f t="shared" si="93"/>
        <v>1.2745132007703757</v>
      </c>
      <c r="I147" s="253">
        <f t="shared" si="93"/>
        <v>1.2745132007703757</v>
      </c>
      <c r="J147" s="253">
        <f t="shared" si="93"/>
        <v>1.2745132007703757</v>
      </c>
      <c r="K147" s="253">
        <f t="shared" si="93"/>
        <v>1.2745132007703757</v>
      </c>
      <c r="L147" s="253">
        <f t="shared" si="93"/>
        <v>1.2745132007703757</v>
      </c>
      <c r="M147" s="253">
        <f t="shared" si="93"/>
        <v>1.2745132007703757</v>
      </c>
      <c r="N147" s="253">
        <f t="shared" si="93"/>
        <v>1.2745132007703757</v>
      </c>
      <c r="O147" s="253">
        <f t="shared" si="93"/>
        <v>1.2745132007703757</v>
      </c>
      <c r="P147" s="253">
        <f t="shared" si="93"/>
        <v>1.2745132007703757</v>
      </c>
    </row>
    <row r="148" spans="1:16" x14ac:dyDescent="0.2">
      <c r="A148" s="370" t="str">
        <f t="shared" si="84"/>
        <v>Време за натоварване напълно за първия курс</v>
      </c>
      <c r="B148" s="235"/>
      <c r="C148" s="235"/>
      <c r="D148" s="357" t="s">
        <v>30</v>
      </c>
      <c r="E148" s="253">
        <f t="shared" ref="E148:P148" si="94">IF(E145=0,0,IF(E135/E145*E144/60&gt;E104-E143,E104-E143,E135/E145*E144/60))</f>
        <v>1.2745132007703754</v>
      </c>
      <c r="F148" s="253">
        <f t="shared" si="94"/>
        <v>1.2745132007703754</v>
      </c>
      <c r="G148" s="253">
        <f t="shared" si="94"/>
        <v>1.2745132007703754</v>
      </c>
      <c r="H148" s="253">
        <f t="shared" si="94"/>
        <v>1.2745132007703754</v>
      </c>
      <c r="I148" s="253">
        <f t="shared" si="94"/>
        <v>1.2745132007703754</v>
      </c>
      <c r="J148" s="253">
        <f t="shared" si="94"/>
        <v>1.2745132007703754</v>
      </c>
      <c r="K148" s="253">
        <f t="shared" si="94"/>
        <v>1.2745132007703754</v>
      </c>
      <c r="L148" s="253">
        <f t="shared" si="94"/>
        <v>1.2745132007703754</v>
      </c>
      <c r="M148" s="253">
        <f t="shared" si="94"/>
        <v>1.2745132007703754</v>
      </c>
      <c r="N148" s="253">
        <f t="shared" si="94"/>
        <v>1.2745132007703754</v>
      </c>
      <c r="O148" s="253">
        <f t="shared" si="94"/>
        <v>1.2745132007703754</v>
      </c>
      <c r="P148" s="253">
        <f t="shared" si="94"/>
        <v>1.2745132007703754</v>
      </c>
    </row>
    <row r="149" spans="1:16" outlineLevel="1" x14ac:dyDescent="0.2">
      <c r="A149" s="370" t="str">
        <f t="shared" si="84"/>
        <v>Общо време за първия курс</v>
      </c>
      <c r="B149" s="235"/>
      <c r="C149" s="235"/>
      <c r="D149" s="357" t="s">
        <v>30</v>
      </c>
      <c r="E149" s="253">
        <f t="shared" ref="E149:P149" si="95">+E148+E143</f>
        <v>3.1078465341037087</v>
      </c>
      <c r="F149" s="253">
        <f t="shared" si="95"/>
        <v>3.1078465341037087</v>
      </c>
      <c r="G149" s="253">
        <f t="shared" si="95"/>
        <v>3.1078465341037087</v>
      </c>
      <c r="H149" s="253">
        <f t="shared" si="95"/>
        <v>3.1078465341037087</v>
      </c>
      <c r="I149" s="253">
        <f t="shared" si="95"/>
        <v>3.1078465341037087</v>
      </c>
      <c r="J149" s="253">
        <f t="shared" si="95"/>
        <v>3.1078465341037087</v>
      </c>
      <c r="K149" s="253">
        <f t="shared" si="95"/>
        <v>3.1078465341037087</v>
      </c>
      <c r="L149" s="253">
        <f t="shared" si="95"/>
        <v>3.1078465341037087</v>
      </c>
      <c r="M149" s="253">
        <f t="shared" si="95"/>
        <v>3.1078465341037087</v>
      </c>
      <c r="N149" s="253">
        <f t="shared" si="95"/>
        <v>3.1078465341037087</v>
      </c>
      <c r="O149" s="253">
        <f t="shared" si="95"/>
        <v>3.1078465341037087</v>
      </c>
      <c r="P149" s="253">
        <f t="shared" si="95"/>
        <v>3.1078465341037087</v>
      </c>
    </row>
    <row r="150" spans="1:16" x14ac:dyDescent="0.2">
      <c r="A150" s="370" t="str">
        <f t="shared" si="84"/>
        <v>Буферно време</v>
      </c>
      <c r="B150" s="235">
        <f>B75</f>
        <v>0.5</v>
      </c>
      <c r="C150" s="235" t="s">
        <v>30</v>
      </c>
      <c r="D150" s="357" t="s">
        <v>30</v>
      </c>
      <c r="E150" s="252">
        <f>B150</f>
        <v>0.5</v>
      </c>
      <c r="F150" s="252">
        <f t="shared" ref="F150:P150" si="96">+E150</f>
        <v>0.5</v>
      </c>
      <c r="G150" s="252">
        <f t="shared" si="96"/>
        <v>0.5</v>
      </c>
      <c r="H150" s="252">
        <f t="shared" si="96"/>
        <v>0.5</v>
      </c>
      <c r="I150" s="252">
        <f t="shared" si="96"/>
        <v>0.5</v>
      </c>
      <c r="J150" s="252">
        <f t="shared" si="96"/>
        <v>0.5</v>
      </c>
      <c r="K150" s="252">
        <f t="shared" si="96"/>
        <v>0.5</v>
      </c>
      <c r="L150" s="252">
        <f t="shared" si="96"/>
        <v>0.5</v>
      </c>
      <c r="M150" s="252">
        <f t="shared" si="96"/>
        <v>0.5</v>
      </c>
      <c r="N150" s="252">
        <f t="shared" si="96"/>
        <v>0.5</v>
      </c>
      <c r="O150" s="252">
        <f t="shared" si="96"/>
        <v>0.5</v>
      </c>
      <c r="P150" s="252">
        <f t="shared" si="96"/>
        <v>0.5</v>
      </c>
    </row>
    <row r="151" spans="1:16" x14ac:dyDescent="0.2">
      <c r="A151" s="370" t="str">
        <f t="shared" si="84"/>
        <v>Остатъчно време за втори курс</v>
      </c>
      <c r="B151" s="235"/>
      <c r="C151" s="235"/>
      <c r="D151" s="357" t="s">
        <v>30</v>
      </c>
      <c r="E151" s="255">
        <f t="shared" ref="E151:P151" si="97">+E104*E105-E149</f>
        <v>4.8921534658962909</v>
      </c>
      <c r="F151" s="255">
        <f t="shared" si="97"/>
        <v>4.8921534658962909</v>
      </c>
      <c r="G151" s="255">
        <f t="shared" si="97"/>
        <v>4.8921534658962909</v>
      </c>
      <c r="H151" s="255">
        <f t="shared" si="97"/>
        <v>4.8921534658962909</v>
      </c>
      <c r="I151" s="255">
        <f t="shared" si="97"/>
        <v>4.8921534658962909</v>
      </c>
      <c r="J151" s="255">
        <f t="shared" si="97"/>
        <v>4.8921534658962909</v>
      </c>
      <c r="K151" s="255">
        <f t="shared" si="97"/>
        <v>4.8921534658962909</v>
      </c>
      <c r="L151" s="255">
        <f t="shared" si="97"/>
        <v>4.8921534658962909</v>
      </c>
      <c r="M151" s="255">
        <f t="shared" si="97"/>
        <v>4.8921534658962909</v>
      </c>
      <c r="N151" s="255">
        <f t="shared" si="97"/>
        <v>4.8921534658962909</v>
      </c>
      <c r="O151" s="255">
        <f t="shared" si="97"/>
        <v>4.8921534658962909</v>
      </c>
      <c r="P151" s="255">
        <f t="shared" si="97"/>
        <v>4.8921534658962909</v>
      </c>
    </row>
    <row r="152" spans="1:16" x14ac:dyDescent="0.2">
      <c r="A152" s="370" t="str">
        <f t="shared" si="84"/>
        <v>Време за натоварване ако остава такова</v>
      </c>
      <c r="B152" s="235"/>
      <c r="C152" s="235"/>
      <c r="D152" s="357" t="s">
        <v>30</v>
      </c>
      <c r="E152" s="255">
        <f t="shared" ref="E152:P152" si="98">+IF(E151-E143&gt;E150,IF(E151-E143&gt;E148,E148,E151-E143),0)</f>
        <v>1.2745132007703754</v>
      </c>
      <c r="F152" s="255">
        <f t="shared" si="98"/>
        <v>1.2745132007703754</v>
      </c>
      <c r="G152" s="255">
        <f t="shared" si="98"/>
        <v>1.2745132007703754</v>
      </c>
      <c r="H152" s="255">
        <f t="shared" si="98"/>
        <v>1.2745132007703754</v>
      </c>
      <c r="I152" s="255">
        <f t="shared" si="98"/>
        <v>1.2745132007703754</v>
      </c>
      <c r="J152" s="255">
        <f t="shared" si="98"/>
        <v>1.2745132007703754</v>
      </c>
      <c r="K152" s="255">
        <f t="shared" si="98"/>
        <v>1.2745132007703754</v>
      </c>
      <c r="L152" s="255">
        <f t="shared" si="98"/>
        <v>1.2745132007703754</v>
      </c>
      <c r="M152" s="255">
        <f t="shared" si="98"/>
        <v>1.2745132007703754</v>
      </c>
      <c r="N152" s="255">
        <f t="shared" si="98"/>
        <v>1.2745132007703754</v>
      </c>
      <c r="O152" s="255">
        <f t="shared" si="98"/>
        <v>1.2745132007703754</v>
      </c>
      <c r="P152" s="255">
        <f t="shared" si="98"/>
        <v>1.2745132007703754</v>
      </c>
    </row>
    <row r="153" spans="1:16" x14ac:dyDescent="0.2">
      <c r="A153" s="370" t="str">
        <f t="shared" si="84"/>
        <v>Остатъчно време за трети курс</v>
      </c>
      <c r="B153" s="235"/>
      <c r="C153" s="235"/>
      <c r="D153" s="357" t="s">
        <v>30</v>
      </c>
      <c r="E153" s="255">
        <f t="shared" ref="E153:P153" si="99">+IF(E152&gt;0,E151-E152-E143,0)</f>
        <v>1.7843069317925824</v>
      </c>
      <c r="F153" s="255">
        <f t="shared" si="99"/>
        <v>1.7843069317925824</v>
      </c>
      <c r="G153" s="255">
        <f t="shared" si="99"/>
        <v>1.7843069317925824</v>
      </c>
      <c r="H153" s="255">
        <f t="shared" si="99"/>
        <v>1.7843069317925824</v>
      </c>
      <c r="I153" s="255">
        <f t="shared" si="99"/>
        <v>1.7843069317925824</v>
      </c>
      <c r="J153" s="255">
        <f t="shared" si="99"/>
        <v>1.7843069317925824</v>
      </c>
      <c r="K153" s="255">
        <f t="shared" si="99"/>
        <v>1.7843069317925824</v>
      </c>
      <c r="L153" s="255">
        <f t="shared" si="99"/>
        <v>1.7843069317925824</v>
      </c>
      <c r="M153" s="255">
        <f t="shared" si="99"/>
        <v>1.7843069317925824</v>
      </c>
      <c r="N153" s="255">
        <f t="shared" si="99"/>
        <v>1.7843069317925824</v>
      </c>
      <c r="O153" s="255">
        <f t="shared" si="99"/>
        <v>1.7843069317925824</v>
      </c>
      <c r="P153" s="255">
        <f t="shared" si="99"/>
        <v>1.7843069317925824</v>
      </c>
    </row>
    <row r="154" spans="1:16" x14ac:dyDescent="0.2">
      <c r="A154" s="370" t="str">
        <f t="shared" si="84"/>
        <v>Време за натоварване ако остава такова</v>
      </c>
      <c r="B154" s="235"/>
      <c r="C154" s="235"/>
      <c r="D154" s="357" t="s">
        <v>30</v>
      </c>
      <c r="E154" s="255">
        <f t="shared" ref="E154:P154" si="100">+IF(E153-E143&gt;E150,IF(E153-E143&gt;E148,E148,E153-E143),0)</f>
        <v>0</v>
      </c>
      <c r="F154" s="255">
        <f t="shared" si="100"/>
        <v>0</v>
      </c>
      <c r="G154" s="255">
        <f t="shared" si="100"/>
        <v>0</v>
      </c>
      <c r="H154" s="255">
        <f t="shared" si="100"/>
        <v>0</v>
      </c>
      <c r="I154" s="255">
        <f t="shared" si="100"/>
        <v>0</v>
      </c>
      <c r="J154" s="255">
        <f t="shared" si="100"/>
        <v>0</v>
      </c>
      <c r="K154" s="255">
        <f t="shared" si="100"/>
        <v>0</v>
      </c>
      <c r="L154" s="255">
        <f t="shared" si="100"/>
        <v>0</v>
      </c>
      <c r="M154" s="255">
        <f t="shared" si="100"/>
        <v>0</v>
      </c>
      <c r="N154" s="255">
        <f t="shared" si="100"/>
        <v>0</v>
      </c>
      <c r="O154" s="255">
        <f t="shared" si="100"/>
        <v>0</v>
      </c>
      <c r="P154" s="255">
        <f t="shared" si="100"/>
        <v>0</v>
      </c>
    </row>
    <row r="155" spans="1:16" x14ac:dyDescent="0.2">
      <c r="A155" s="370" t="str">
        <f t="shared" si="84"/>
        <v>Остатъчно време за четвърти курс</v>
      </c>
      <c r="B155" s="235"/>
      <c r="C155" s="235"/>
      <c r="D155" s="357" t="s">
        <v>30</v>
      </c>
      <c r="E155" s="255">
        <f t="shared" ref="E155:P155" si="101">+IF(E154&gt;0,E153-E154-E143,0)</f>
        <v>0</v>
      </c>
      <c r="F155" s="255">
        <f t="shared" si="101"/>
        <v>0</v>
      </c>
      <c r="G155" s="255">
        <f t="shared" si="101"/>
        <v>0</v>
      </c>
      <c r="H155" s="255">
        <f t="shared" si="101"/>
        <v>0</v>
      </c>
      <c r="I155" s="255">
        <f t="shared" si="101"/>
        <v>0</v>
      </c>
      <c r="J155" s="255">
        <f t="shared" si="101"/>
        <v>0</v>
      </c>
      <c r="K155" s="255">
        <f t="shared" si="101"/>
        <v>0</v>
      </c>
      <c r="L155" s="255">
        <f t="shared" si="101"/>
        <v>0</v>
      </c>
      <c r="M155" s="255">
        <f t="shared" si="101"/>
        <v>0</v>
      </c>
      <c r="N155" s="255">
        <f t="shared" si="101"/>
        <v>0</v>
      </c>
      <c r="O155" s="255">
        <f t="shared" si="101"/>
        <v>0</v>
      </c>
      <c r="P155" s="255">
        <f t="shared" si="101"/>
        <v>0</v>
      </c>
    </row>
    <row r="156" spans="1:16" x14ac:dyDescent="0.2">
      <c r="A156" s="370" t="str">
        <f t="shared" si="84"/>
        <v>Време за натоварване ако остава такова</v>
      </c>
      <c r="B156" s="235"/>
      <c r="C156" s="235"/>
      <c r="D156" s="357" t="s">
        <v>30</v>
      </c>
      <c r="E156" s="255">
        <f t="shared" ref="E156:P156" si="102">+IF(E155-E143&gt;E150,IF(E155-E143&gt;E148,E148,E155-E143),0)</f>
        <v>0</v>
      </c>
      <c r="F156" s="255">
        <f t="shared" si="102"/>
        <v>0</v>
      </c>
      <c r="G156" s="255">
        <f t="shared" si="102"/>
        <v>0</v>
      </c>
      <c r="H156" s="255">
        <f t="shared" si="102"/>
        <v>0</v>
      </c>
      <c r="I156" s="255">
        <f t="shared" si="102"/>
        <v>0</v>
      </c>
      <c r="J156" s="255">
        <f t="shared" si="102"/>
        <v>0</v>
      </c>
      <c r="K156" s="255">
        <f t="shared" si="102"/>
        <v>0</v>
      </c>
      <c r="L156" s="255">
        <f t="shared" si="102"/>
        <v>0</v>
      </c>
      <c r="M156" s="255">
        <f t="shared" si="102"/>
        <v>0</v>
      </c>
      <c r="N156" s="255">
        <f t="shared" si="102"/>
        <v>0</v>
      </c>
      <c r="O156" s="255">
        <f t="shared" si="102"/>
        <v>0</v>
      </c>
      <c r="P156" s="255">
        <f t="shared" si="102"/>
        <v>0</v>
      </c>
    </row>
    <row r="157" spans="1:16" x14ac:dyDescent="0.2">
      <c r="A157" s="370" t="str">
        <f t="shared" si="84"/>
        <v>Остатъчно време за пети курс</v>
      </c>
      <c r="B157" s="235"/>
      <c r="C157" s="235"/>
      <c r="D157" s="357" t="s">
        <v>30</v>
      </c>
      <c r="E157" s="255">
        <f t="shared" ref="E157:P157" si="103">+IF(E156&gt;0,E155-E156-E143,0)</f>
        <v>0</v>
      </c>
      <c r="F157" s="255">
        <f t="shared" si="103"/>
        <v>0</v>
      </c>
      <c r="G157" s="255">
        <f t="shared" si="103"/>
        <v>0</v>
      </c>
      <c r="H157" s="255">
        <f t="shared" si="103"/>
        <v>0</v>
      </c>
      <c r="I157" s="255">
        <f t="shared" si="103"/>
        <v>0</v>
      </c>
      <c r="J157" s="255">
        <f t="shared" si="103"/>
        <v>0</v>
      </c>
      <c r="K157" s="255">
        <f t="shared" si="103"/>
        <v>0</v>
      </c>
      <c r="L157" s="255">
        <f t="shared" si="103"/>
        <v>0</v>
      </c>
      <c r="M157" s="255">
        <f t="shared" si="103"/>
        <v>0</v>
      </c>
      <c r="N157" s="255">
        <f t="shared" si="103"/>
        <v>0</v>
      </c>
      <c r="O157" s="255">
        <f t="shared" si="103"/>
        <v>0</v>
      </c>
      <c r="P157" s="255">
        <f t="shared" si="103"/>
        <v>0</v>
      </c>
    </row>
    <row r="158" spans="1:16" x14ac:dyDescent="0.2">
      <c r="A158" s="370" t="str">
        <f t="shared" si="84"/>
        <v>Време за натоварване ако остава такова</v>
      </c>
      <c r="B158" s="235"/>
      <c r="C158" s="235"/>
      <c r="D158" s="357" t="s">
        <v>30</v>
      </c>
      <c r="E158" s="255">
        <f t="shared" ref="E158:P158" si="104">+IF(E157-E143&gt;E150,IF(E157-E143&gt;E148,E148,E157-E143),0)</f>
        <v>0</v>
      </c>
      <c r="F158" s="255">
        <f t="shared" si="104"/>
        <v>0</v>
      </c>
      <c r="G158" s="255">
        <f t="shared" si="104"/>
        <v>0</v>
      </c>
      <c r="H158" s="255">
        <f t="shared" si="104"/>
        <v>0</v>
      </c>
      <c r="I158" s="255">
        <f t="shared" si="104"/>
        <v>0</v>
      </c>
      <c r="J158" s="255">
        <f t="shared" si="104"/>
        <v>0</v>
      </c>
      <c r="K158" s="255">
        <f t="shared" si="104"/>
        <v>0</v>
      </c>
      <c r="L158" s="255">
        <f t="shared" si="104"/>
        <v>0</v>
      </c>
      <c r="M158" s="255">
        <f t="shared" si="104"/>
        <v>0</v>
      </c>
      <c r="N158" s="255">
        <f t="shared" si="104"/>
        <v>0</v>
      </c>
      <c r="O158" s="255">
        <f t="shared" si="104"/>
        <v>0</v>
      </c>
      <c r="P158" s="255">
        <f t="shared" si="104"/>
        <v>0</v>
      </c>
    </row>
    <row r="159" spans="1:16" x14ac:dyDescent="0.2">
      <c r="A159" s="370"/>
      <c r="B159" s="235"/>
      <c r="C159" s="235"/>
      <c r="D159" s="357"/>
      <c r="E159" s="253"/>
      <c r="F159" s="253"/>
      <c r="G159" s="253"/>
      <c r="H159" s="253"/>
      <c r="I159" s="253"/>
      <c r="J159" s="253"/>
      <c r="K159" s="253"/>
      <c r="L159" s="253"/>
      <c r="M159" s="253"/>
      <c r="N159" s="253"/>
      <c r="O159" s="253"/>
      <c r="P159" s="253"/>
    </row>
    <row r="160" spans="1:16" x14ac:dyDescent="0.2">
      <c r="A160" s="370" t="str">
        <f t="shared" si="84"/>
        <v>Среден брой курсове дневно</v>
      </c>
      <c r="B160" s="235"/>
      <c r="C160" s="235"/>
      <c r="D160" s="357" t="s">
        <v>81</v>
      </c>
      <c r="E160" s="253">
        <f t="shared" ref="E160:P160" si="105">IF(E147=0,0,+(E158+E156+E154+E152+E148)/E147)</f>
        <v>1.9999999999999996</v>
      </c>
      <c r="F160" s="253">
        <f t="shared" si="105"/>
        <v>1.9999999999999996</v>
      </c>
      <c r="G160" s="253">
        <f t="shared" si="105"/>
        <v>1.9999999999999996</v>
      </c>
      <c r="H160" s="253">
        <f t="shared" si="105"/>
        <v>1.9999999999999996</v>
      </c>
      <c r="I160" s="253">
        <f t="shared" si="105"/>
        <v>1.9999999999999996</v>
      </c>
      <c r="J160" s="253">
        <f t="shared" si="105"/>
        <v>1.9999999999999996</v>
      </c>
      <c r="K160" s="253">
        <f t="shared" si="105"/>
        <v>1.9999999999999996</v>
      </c>
      <c r="L160" s="253">
        <f t="shared" si="105"/>
        <v>1.9999999999999996</v>
      </c>
      <c r="M160" s="253">
        <f t="shared" si="105"/>
        <v>1.9999999999999996</v>
      </c>
      <c r="N160" s="253">
        <f t="shared" si="105"/>
        <v>1.9999999999999996</v>
      </c>
      <c r="O160" s="253">
        <f t="shared" si="105"/>
        <v>1.9999999999999996</v>
      </c>
      <c r="P160" s="253">
        <f t="shared" si="105"/>
        <v>1.9999999999999996</v>
      </c>
    </row>
    <row r="161" spans="1:16" x14ac:dyDescent="0.2">
      <c r="A161" s="370" t="str">
        <f t="shared" si="84"/>
        <v>Средно количество събрани отпадъци дневно</v>
      </c>
      <c r="B161" s="235"/>
      <c r="C161" s="235"/>
      <c r="D161" s="357" t="s">
        <v>82</v>
      </c>
      <c r="E161" s="253">
        <f t="shared" ref="E161:P161" si="106">+E160*E135</f>
        <v>5.4399999999999995</v>
      </c>
      <c r="F161" s="253">
        <f t="shared" si="106"/>
        <v>5.4399999999999995</v>
      </c>
      <c r="G161" s="253">
        <f t="shared" si="106"/>
        <v>5.4399999999999995</v>
      </c>
      <c r="H161" s="253">
        <f t="shared" si="106"/>
        <v>5.4399999999999995</v>
      </c>
      <c r="I161" s="253">
        <f t="shared" si="106"/>
        <v>5.4399999999999995</v>
      </c>
      <c r="J161" s="253">
        <f t="shared" si="106"/>
        <v>5.4399999999999995</v>
      </c>
      <c r="K161" s="253">
        <f t="shared" si="106"/>
        <v>5.4399999999999995</v>
      </c>
      <c r="L161" s="253">
        <f t="shared" si="106"/>
        <v>5.4399999999999995</v>
      </c>
      <c r="M161" s="253">
        <f t="shared" si="106"/>
        <v>5.4399999999999995</v>
      </c>
      <c r="N161" s="253">
        <f t="shared" si="106"/>
        <v>5.4399999999999995</v>
      </c>
      <c r="O161" s="253">
        <f t="shared" si="106"/>
        <v>5.4399999999999995</v>
      </c>
      <c r="P161" s="253">
        <f t="shared" si="106"/>
        <v>5.4399999999999995</v>
      </c>
    </row>
    <row r="162" spans="1:16" x14ac:dyDescent="0.2">
      <c r="A162" s="235"/>
      <c r="B162" s="235"/>
      <c r="C162" s="235"/>
      <c r="D162" s="357"/>
      <c r="E162" s="246"/>
      <c r="F162" s="246"/>
      <c r="G162" s="246"/>
      <c r="H162" s="246"/>
      <c r="I162" s="246"/>
      <c r="J162" s="246"/>
      <c r="K162" s="246"/>
      <c r="L162" s="246"/>
      <c r="M162" s="246"/>
      <c r="N162" s="246"/>
      <c r="O162" s="246"/>
      <c r="P162" s="246"/>
    </row>
    <row r="163" spans="1:16" ht="13.5" customHeight="1" x14ac:dyDescent="0.2">
      <c r="A163" s="239" t="s">
        <v>52</v>
      </c>
      <c r="B163" s="239"/>
      <c r="C163" s="239"/>
      <c r="D163" s="357"/>
      <c r="E163" s="236"/>
      <c r="F163" s="236"/>
      <c r="G163" s="236"/>
      <c r="H163" s="236"/>
      <c r="I163" s="236"/>
      <c r="J163" s="236"/>
      <c r="K163" s="236"/>
      <c r="L163" s="238"/>
      <c r="M163" s="238"/>
      <c r="N163" s="238"/>
      <c r="O163" s="238"/>
      <c r="P163" s="235"/>
    </row>
    <row r="164" spans="1:16" x14ac:dyDescent="0.2">
      <c r="A164" s="370" t="str">
        <f>A89</f>
        <v>Необходими автомобили за събиране, включително резерви</v>
      </c>
      <c r="B164" s="235"/>
      <c r="C164" s="235"/>
      <c r="D164" s="357" t="s">
        <v>84</v>
      </c>
      <c r="E164" s="252">
        <f t="shared" ref="E164:P164" si="107">E165/E136</f>
        <v>0.32769143432259784</v>
      </c>
      <c r="F164" s="252">
        <f t="shared" si="107"/>
        <v>0.32769143432259784</v>
      </c>
      <c r="G164" s="252">
        <f t="shared" si="107"/>
        <v>0.32769143432259784</v>
      </c>
      <c r="H164" s="252">
        <f t="shared" si="107"/>
        <v>0.32769143432259784</v>
      </c>
      <c r="I164" s="252">
        <f t="shared" si="107"/>
        <v>0.32769143432259784</v>
      </c>
      <c r="J164" s="252">
        <f t="shared" si="107"/>
        <v>0.32769143432259784</v>
      </c>
      <c r="K164" s="252">
        <f t="shared" si="107"/>
        <v>0.32769143432259784</v>
      </c>
      <c r="L164" s="252">
        <f t="shared" si="107"/>
        <v>0.32769143432259784</v>
      </c>
      <c r="M164" s="252">
        <f t="shared" si="107"/>
        <v>0.32769143432259784</v>
      </c>
      <c r="N164" s="252">
        <f t="shared" si="107"/>
        <v>0.32769143432259784</v>
      </c>
      <c r="O164" s="252">
        <f t="shared" si="107"/>
        <v>0.32769143432259784</v>
      </c>
      <c r="P164" s="252">
        <f t="shared" si="107"/>
        <v>0.32769143432259784</v>
      </c>
    </row>
    <row r="165" spans="1:16" x14ac:dyDescent="0.2">
      <c r="A165" s="370" t="str">
        <f>A90</f>
        <v>Автомобили за събиране в действие</v>
      </c>
      <c r="B165" s="239"/>
      <c r="C165" s="239"/>
      <c r="D165" s="357" t="s">
        <v>84</v>
      </c>
      <c r="E165" s="252">
        <f t="shared" ref="E165:P165" si="108">IF(E161=0,0,E96/E113/E161)</f>
        <v>0.27853771917420816</v>
      </c>
      <c r="F165" s="252">
        <f t="shared" si="108"/>
        <v>0.27853771917420816</v>
      </c>
      <c r="G165" s="252">
        <f t="shared" si="108"/>
        <v>0.27853771917420816</v>
      </c>
      <c r="H165" s="252">
        <f t="shared" si="108"/>
        <v>0.27853771917420816</v>
      </c>
      <c r="I165" s="252">
        <f t="shared" si="108"/>
        <v>0.27853771917420816</v>
      </c>
      <c r="J165" s="252">
        <f t="shared" si="108"/>
        <v>0.27853771917420816</v>
      </c>
      <c r="K165" s="252">
        <f t="shared" si="108"/>
        <v>0.27853771917420816</v>
      </c>
      <c r="L165" s="252">
        <f t="shared" si="108"/>
        <v>0.27853771917420816</v>
      </c>
      <c r="M165" s="252">
        <f t="shared" si="108"/>
        <v>0.27853771917420816</v>
      </c>
      <c r="N165" s="252">
        <f t="shared" si="108"/>
        <v>0.27853771917420816</v>
      </c>
      <c r="O165" s="252">
        <f t="shared" si="108"/>
        <v>0.27853771917420816</v>
      </c>
      <c r="P165" s="252">
        <f t="shared" si="108"/>
        <v>0.27853771917420816</v>
      </c>
    </row>
    <row r="166" spans="1:16" x14ac:dyDescent="0.2">
      <c r="A166" s="370" t="str">
        <f>A91</f>
        <v>Необходим брой нови автомобили за събиране</v>
      </c>
      <c r="B166" s="256"/>
      <c r="C166" s="235"/>
      <c r="D166" s="357" t="s">
        <v>84</v>
      </c>
      <c r="E166" s="257">
        <f t="shared" ref="E166:P166" si="109">+ROUNDUP(E164,1)</f>
        <v>0.4</v>
      </c>
      <c r="F166" s="257">
        <f t="shared" si="109"/>
        <v>0.4</v>
      </c>
      <c r="G166" s="257">
        <f t="shared" si="109"/>
        <v>0.4</v>
      </c>
      <c r="H166" s="257">
        <f t="shared" si="109"/>
        <v>0.4</v>
      </c>
      <c r="I166" s="257">
        <f t="shared" si="109"/>
        <v>0.4</v>
      </c>
      <c r="J166" s="257">
        <f t="shared" si="109"/>
        <v>0.4</v>
      </c>
      <c r="K166" s="257">
        <f t="shared" si="109"/>
        <v>0.4</v>
      </c>
      <c r="L166" s="257">
        <f t="shared" si="109"/>
        <v>0.4</v>
      </c>
      <c r="M166" s="257">
        <f t="shared" si="109"/>
        <v>0.4</v>
      </c>
      <c r="N166" s="257">
        <f t="shared" si="109"/>
        <v>0.4</v>
      </c>
      <c r="O166" s="257">
        <f t="shared" si="109"/>
        <v>0.4</v>
      </c>
      <c r="P166" s="257">
        <f t="shared" si="109"/>
        <v>0.4</v>
      </c>
    </row>
    <row r="167" spans="1:16" x14ac:dyDescent="0.2">
      <c r="B167" s="90"/>
      <c r="D167" s="359"/>
      <c r="E167" s="91"/>
      <c r="F167" s="91"/>
      <c r="G167" s="91"/>
      <c r="H167" s="91"/>
      <c r="I167" s="91"/>
      <c r="J167" s="91"/>
      <c r="K167" s="91"/>
      <c r="L167" s="91"/>
      <c r="M167" s="91"/>
      <c r="N167" s="91"/>
      <c r="O167" s="91"/>
      <c r="P167" s="91"/>
    </row>
    <row r="168" spans="1:16" ht="18.75" x14ac:dyDescent="0.3">
      <c r="A168" s="453" t="s">
        <v>219</v>
      </c>
      <c r="B168" s="453" t="str">
        <f>'Изходни данни'!A5</f>
        <v>малки населени места (до 3000 жители)</v>
      </c>
      <c r="C168" s="258"/>
      <c r="D168" s="366"/>
      <c r="E168" s="259"/>
      <c r="F168" s="259"/>
      <c r="G168" s="259"/>
      <c r="H168" s="259"/>
      <c r="I168" s="259"/>
      <c r="J168" s="259"/>
      <c r="K168" s="259"/>
      <c r="L168" s="258"/>
      <c r="M168" s="258"/>
      <c r="N168" s="258"/>
      <c r="O168" s="258"/>
      <c r="P168" s="258"/>
    </row>
    <row r="169" spans="1:16" x14ac:dyDescent="0.2">
      <c r="A169" s="260"/>
      <c r="B169" s="260"/>
      <c r="C169" s="260"/>
      <c r="D169" s="358"/>
      <c r="E169" s="261"/>
      <c r="F169" s="261"/>
      <c r="G169" s="261"/>
      <c r="H169" s="261"/>
      <c r="I169" s="261"/>
      <c r="J169" s="261"/>
      <c r="K169" s="261"/>
      <c r="L169" s="261"/>
      <c r="M169" s="261"/>
      <c r="N169" s="261"/>
      <c r="O169" s="261"/>
      <c r="P169" s="261"/>
    </row>
    <row r="170" spans="1:16" s="82" customFormat="1" x14ac:dyDescent="0.2">
      <c r="A170" s="262" t="str">
        <f>A19</f>
        <v>Обслужвано население</v>
      </c>
      <c r="B170" s="262"/>
      <c r="C170" s="262"/>
      <c r="D170" s="367"/>
      <c r="E170" s="263">
        <f t="shared" ref="E170:P170" si="110">E13</f>
        <v>10000</v>
      </c>
      <c r="F170" s="263">
        <f t="shared" si="110"/>
        <v>10000</v>
      </c>
      <c r="G170" s="263">
        <f t="shared" si="110"/>
        <v>10000</v>
      </c>
      <c r="H170" s="263">
        <f t="shared" si="110"/>
        <v>10000</v>
      </c>
      <c r="I170" s="263">
        <f t="shared" si="110"/>
        <v>10000</v>
      </c>
      <c r="J170" s="263">
        <f t="shared" si="110"/>
        <v>10000</v>
      </c>
      <c r="K170" s="263">
        <f t="shared" si="110"/>
        <v>10000</v>
      </c>
      <c r="L170" s="263">
        <f t="shared" si="110"/>
        <v>10000</v>
      </c>
      <c r="M170" s="263">
        <f t="shared" si="110"/>
        <v>10000</v>
      </c>
      <c r="N170" s="263">
        <f t="shared" si="110"/>
        <v>10000</v>
      </c>
      <c r="O170" s="263">
        <f t="shared" si="110"/>
        <v>10000</v>
      </c>
      <c r="P170" s="263">
        <f t="shared" si="110"/>
        <v>10000</v>
      </c>
    </row>
    <row r="171" spans="1:16" x14ac:dyDescent="0.2">
      <c r="A171" s="260"/>
      <c r="B171" s="260"/>
      <c r="C171" s="260"/>
      <c r="D171" s="358"/>
      <c r="E171" s="261"/>
      <c r="F171" s="261"/>
      <c r="G171" s="261"/>
      <c r="H171" s="261"/>
      <c r="I171" s="261"/>
      <c r="J171" s="261"/>
      <c r="K171" s="261"/>
      <c r="L171" s="261"/>
      <c r="M171" s="261"/>
      <c r="N171" s="261"/>
      <c r="O171" s="261"/>
      <c r="P171" s="261"/>
    </row>
    <row r="172" spans="1:16" x14ac:dyDescent="0.2">
      <c r="A172" s="262" t="s">
        <v>21</v>
      </c>
      <c r="B172" s="262"/>
      <c r="C172" s="262"/>
      <c r="D172" s="358" t="s">
        <v>22</v>
      </c>
      <c r="E172" s="263">
        <f t="shared" ref="E172:P172" si="111">E173+E174+E175</f>
        <v>208.2</v>
      </c>
      <c r="F172" s="263">
        <f t="shared" si="111"/>
        <v>208.2</v>
      </c>
      <c r="G172" s="263">
        <f t="shared" si="111"/>
        <v>208.2</v>
      </c>
      <c r="H172" s="263">
        <f t="shared" si="111"/>
        <v>208.2</v>
      </c>
      <c r="I172" s="263">
        <f t="shared" si="111"/>
        <v>208.2</v>
      </c>
      <c r="J172" s="263">
        <f t="shared" si="111"/>
        <v>208.2</v>
      </c>
      <c r="K172" s="263">
        <f t="shared" si="111"/>
        <v>208.2</v>
      </c>
      <c r="L172" s="263">
        <f t="shared" si="111"/>
        <v>208.2</v>
      </c>
      <c r="M172" s="263">
        <f t="shared" si="111"/>
        <v>208.2</v>
      </c>
      <c r="N172" s="263">
        <f t="shared" si="111"/>
        <v>208.2</v>
      </c>
      <c r="O172" s="263">
        <f t="shared" si="111"/>
        <v>208.2</v>
      </c>
      <c r="P172" s="263">
        <f t="shared" si="111"/>
        <v>208.2</v>
      </c>
    </row>
    <row r="173" spans="1:16" x14ac:dyDescent="0.2">
      <c r="A173" s="371" t="str">
        <f>A22</f>
        <v>Отпадъци от домакинствата</v>
      </c>
      <c r="B173" s="260"/>
      <c r="C173" s="260"/>
      <c r="D173" s="358" t="s">
        <v>24</v>
      </c>
      <c r="E173" s="265">
        <f>'Масов баланс'!E297</f>
        <v>180</v>
      </c>
      <c r="F173" s="265">
        <f>'Масов баланс'!F297</f>
        <v>180</v>
      </c>
      <c r="G173" s="265">
        <f>'Масов баланс'!G297</f>
        <v>180</v>
      </c>
      <c r="H173" s="265">
        <f>'Масов баланс'!H297</f>
        <v>180</v>
      </c>
      <c r="I173" s="265">
        <f>'Масов баланс'!I297</f>
        <v>180</v>
      </c>
      <c r="J173" s="265">
        <f>'Масов баланс'!J297</f>
        <v>180</v>
      </c>
      <c r="K173" s="265">
        <f>'Масов баланс'!K297</f>
        <v>180</v>
      </c>
      <c r="L173" s="265">
        <f>'Масов баланс'!L297</f>
        <v>180</v>
      </c>
      <c r="M173" s="265">
        <f>'Масов баланс'!M297</f>
        <v>180</v>
      </c>
      <c r="N173" s="265">
        <f>'Масов баланс'!N297</f>
        <v>180</v>
      </c>
      <c r="O173" s="265">
        <f>'Масов баланс'!O297</f>
        <v>180</v>
      </c>
      <c r="P173" s="265">
        <f>'Масов баланс'!P297</f>
        <v>180</v>
      </c>
    </row>
    <row r="174" spans="1:16" x14ac:dyDescent="0.2">
      <c r="A174" s="371" t="str">
        <f>A23</f>
        <v>Отпадъци от търговски обекти и юридически лица, събирани съвместно с отпадъците от домакинствата</v>
      </c>
      <c r="B174" s="260"/>
      <c r="C174" s="260"/>
      <c r="D174" s="358" t="s">
        <v>24</v>
      </c>
      <c r="E174" s="265">
        <f>'Масов баланс'!E298</f>
        <v>19.200000000000003</v>
      </c>
      <c r="F174" s="265">
        <f>'Масов баланс'!F298</f>
        <v>19.200000000000003</v>
      </c>
      <c r="G174" s="265">
        <f>'Масов баланс'!G298</f>
        <v>19.200000000000003</v>
      </c>
      <c r="H174" s="265">
        <f>'Масов баланс'!H298</f>
        <v>19.200000000000003</v>
      </c>
      <c r="I174" s="265">
        <f>'Масов баланс'!I298</f>
        <v>19.200000000000003</v>
      </c>
      <c r="J174" s="265">
        <f>'Масов баланс'!J298</f>
        <v>19.200000000000003</v>
      </c>
      <c r="K174" s="265">
        <f>'Масов баланс'!K298</f>
        <v>19.200000000000003</v>
      </c>
      <c r="L174" s="265">
        <f>'Масов баланс'!L298</f>
        <v>19.200000000000003</v>
      </c>
      <c r="M174" s="265">
        <f>'Масов баланс'!M298</f>
        <v>19.200000000000003</v>
      </c>
      <c r="N174" s="265">
        <f>'Масов баланс'!N298</f>
        <v>19.200000000000003</v>
      </c>
      <c r="O174" s="265">
        <f>'Масов баланс'!O298</f>
        <v>19.200000000000003</v>
      </c>
      <c r="P174" s="265">
        <f>'Масов баланс'!P298</f>
        <v>19.200000000000003</v>
      </c>
    </row>
    <row r="175" spans="1:16" x14ac:dyDescent="0.2">
      <c r="A175" s="371" t="str">
        <f>A24</f>
        <v>Смесени отпадъци и други примеси изхвърлени в контейнерите за разделно събиране</v>
      </c>
      <c r="B175" s="260"/>
      <c r="C175" s="260"/>
      <c r="D175" s="358" t="s">
        <v>24</v>
      </c>
      <c r="E175" s="265">
        <f>'Масов баланс'!E300</f>
        <v>9</v>
      </c>
      <c r="F175" s="265">
        <f>'Масов баланс'!F300</f>
        <v>9</v>
      </c>
      <c r="G175" s="265">
        <f>'Масов баланс'!G300</f>
        <v>9</v>
      </c>
      <c r="H175" s="265">
        <f>'Масов баланс'!H300</f>
        <v>9</v>
      </c>
      <c r="I175" s="265">
        <f>'Масов баланс'!I300</f>
        <v>9</v>
      </c>
      <c r="J175" s="265">
        <f>'Масов баланс'!J300</f>
        <v>9</v>
      </c>
      <c r="K175" s="265">
        <f>'Масов баланс'!K300</f>
        <v>9</v>
      </c>
      <c r="L175" s="265">
        <f>'Масов баланс'!L300</f>
        <v>9</v>
      </c>
      <c r="M175" s="265">
        <f>'Масов баланс'!M300</f>
        <v>9</v>
      </c>
      <c r="N175" s="265">
        <f>'Масов баланс'!N300</f>
        <v>9</v>
      </c>
      <c r="O175" s="265">
        <f>'Масов баланс'!O300</f>
        <v>9</v>
      </c>
      <c r="P175" s="265">
        <f>'Масов баланс'!P300</f>
        <v>9</v>
      </c>
    </row>
    <row r="176" spans="1:16" x14ac:dyDescent="0.2">
      <c r="A176" s="371" t="str">
        <f>A25</f>
        <v>% отпадъци от търговски обекти</v>
      </c>
      <c r="B176" s="260"/>
      <c r="C176" s="260"/>
      <c r="D176" s="358"/>
      <c r="E176" s="266">
        <f t="shared" ref="E176:P176" si="112">IF(E172&lt;1,0,E174/E172)</f>
        <v>9.2219020172910685E-2</v>
      </c>
      <c r="F176" s="266">
        <f t="shared" si="112"/>
        <v>9.2219020172910685E-2</v>
      </c>
      <c r="G176" s="266">
        <f t="shared" si="112"/>
        <v>9.2219020172910685E-2</v>
      </c>
      <c r="H176" s="266">
        <f t="shared" si="112"/>
        <v>9.2219020172910685E-2</v>
      </c>
      <c r="I176" s="266">
        <f t="shared" si="112"/>
        <v>9.2219020172910685E-2</v>
      </c>
      <c r="J176" s="266">
        <f t="shared" si="112"/>
        <v>9.2219020172910685E-2</v>
      </c>
      <c r="K176" s="266">
        <f t="shared" si="112"/>
        <v>9.2219020172910685E-2</v>
      </c>
      <c r="L176" s="266">
        <f t="shared" si="112"/>
        <v>9.2219020172910685E-2</v>
      </c>
      <c r="M176" s="266">
        <f t="shared" si="112"/>
        <v>9.2219020172910685E-2</v>
      </c>
      <c r="N176" s="266">
        <f t="shared" si="112"/>
        <v>9.2219020172910685E-2</v>
      </c>
      <c r="O176" s="266">
        <f t="shared" si="112"/>
        <v>9.2219020172910685E-2</v>
      </c>
      <c r="P176" s="266">
        <f t="shared" si="112"/>
        <v>9.2219020172910685E-2</v>
      </c>
    </row>
    <row r="177" spans="1:16" x14ac:dyDescent="0.2">
      <c r="A177" s="260"/>
      <c r="B177" s="267"/>
      <c r="C177" s="260"/>
      <c r="D177" s="368"/>
      <c r="E177" s="265"/>
      <c r="F177" s="265"/>
      <c r="G177" s="265"/>
      <c r="H177" s="265"/>
      <c r="I177" s="265"/>
      <c r="J177" s="265"/>
      <c r="K177" s="265"/>
      <c r="L177" s="265"/>
      <c r="M177" s="268"/>
      <c r="N177" s="268"/>
      <c r="O177" s="261"/>
      <c r="P177" s="261"/>
    </row>
    <row r="178" spans="1:16" s="82" customFormat="1" x14ac:dyDescent="0.2">
      <c r="A178" s="262" t="s">
        <v>26</v>
      </c>
      <c r="B178" s="262"/>
      <c r="C178" s="262"/>
      <c r="D178" s="358"/>
      <c r="E178" s="263"/>
      <c r="F178" s="263"/>
      <c r="G178" s="263"/>
      <c r="H178" s="263"/>
      <c r="I178" s="263"/>
      <c r="J178" s="263"/>
      <c r="K178" s="263"/>
      <c r="L178" s="269"/>
      <c r="M178" s="269"/>
      <c r="N178" s="269"/>
      <c r="O178" s="264"/>
      <c r="P178" s="264"/>
    </row>
    <row r="179" spans="1:16" x14ac:dyDescent="0.2">
      <c r="A179" s="371" t="str">
        <f>A28</f>
        <v>Работни дни седмично</v>
      </c>
      <c r="B179" s="260"/>
      <c r="C179" s="260"/>
      <c r="D179" s="358" t="s">
        <v>28</v>
      </c>
      <c r="E179" s="260">
        <f>E28</f>
        <v>5</v>
      </c>
      <c r="F179" s="260">
        <f t="shared" ref="F179:P179" si="113">E179</f>
        <v>5</v>
      </c>
      <c r="G179" s="260">
        <f t="shared" si="113"/>
        <v>5</v>
      </c>
      <c r="H179" s="260">
        <f t="shared" si="113"/>
        <v>5</v>
      </c>
      <c r="I179" s="260">
        <f t="shared" si="113"/>
        <v>5</v>
      </c>
      <c r="J179" s="260">
        <f t="shared" si="113"/>
        <v>5</v>
      </c>
      <c r="K179" s="260">
        <f t="shared" si="113"/>
        <v>5</v>
      </c>
      <c r="L179" s="260">
        <f t="shared" si="113"/>
        <v>5</v>
      </c>
      <c r="M179" s="260">
        <f t="shared" si="113"/>
        <v>5</v>
      </c>
      <c r="N179" s="260">
        <f t="shared" si="113"/>
        <v>5</v>
      </c>
      <c r="O179" s="260">
        <f t="shared" si="113"/>
        <v>5</v>
      </c>
      <c r="P179" s="260">
        <f t="shared" si="113"/>
        <v>5</v>
      </c>
    </row>
    <row r="180" spans="1:16" x14ac:dyDescent="0.2">
      <c r="A180" s="371" t="str">
        <f>A29</f>
        <v>Ефективни работни часове на смяна</v>
      </c>
      <c r="B180" s="260"/>
      <c r="C180" s="260"/>
      <c r="D180" s="358" t="s">
        <v>30</v>
      </c>
      <c r="E180" s="260">
        <f>E29</f>
        <v>8</v>
      </c>
      <c r="F180" s="260">
        <f t="shared" ref="F180:P180" si="114">E180</f>
        <v>8</v>
      </c>
      <c r="G180" s="260">
        <f t="shared" si="114"/>
        <v>8</v>
      </c>
      <c r="H180" s="260">
        <f t="shared" si="114"/>
        <v>8</v>
      </c>
      <c r="I180" s="260">
        <f t="shared" si="114"/>
        <v>8</v>
      </c>
      <c r="J180" s="260">
        <f t="shared" si="114"/>
        <v>8</v>
      </c>
      <c r="K180" s="260">
        <f t="shared" si="114"/>
        <v>8</v>
      </c>
      <c r="L180" s="260">
        <f t="shared" si="114"/>
        <v>8</v>
      </c>
      <c r="M180" s="260">
        <f t="shared" si="114"/>
        <v>8</v>
      </c>
      <c r="N180" s="260">
        <f t="shared" si="114"/>
        <v>8</v>
      </c>
      <c r="O180" s="260">
        <f t="shared" si="114"/>
        <v>8</v>
      </c>
      <c r="P180" s="260">
        <f t="shared" si="114"/>
        <v>8</v>
      </c>
    </row>
    <row r="181" spans="1:16" x14ac:dyDescent="0.2">
      <c r="A181" s="371" t="str">
        <f>A30</f>
        <v>Брой смени</v>
      </c>
      <c r="B181" s="260"/>
      <c r="C181" s="260"/>
      <c r="D181" s="358" t="s">
        <v>32</v>
      </c>
      <c r="E181" s="260">
        <f>E30</f>
        <v>1</v>
      </c>
      <c r="F181" s="260">
        <f t="shared" ref="F181:P181" si="115">E181</f>
        <v>1</v>
      </c>
      <c r="G181" s="260">
        <f t="shared" si="115"/>
        <v>1</v>
      </c>
      <c r="H181" s="260">
        <f t="shared" si="115"/>
        <v>1</v>
      </c>
      <c r="I181" s="260">
        <f t="shared" si="115"/>
        <v>1</v>
      </c>
      <c r="J181" s="260">
        <f t="shared" si="115"/>
        <v>1</v>
      </c>
      <c r="K181" s="260">
        <f t="shared" si="115"/>
        <v>1</v>
      </c>
      <c r="L181" s="260">
        <f t="shared" si="115"/>
        <v>1</v>
      </c>
      <c r="M181" s="260">
        <f t="shared" si="115"/>
        <v>1</v>
      </c>
      <c r="N181" s="260">
        <f t="shared" si="115"/>
        <v>1</v>
      </c>
      <c r="O181" s="260">
        <f t="shared" si="115"/>
        <v>1</v>
      </c>
      <c r="P181" s="260">
        <f t="shared" si="115"/>
        <v>1</v>
      </c>
    </row>
    <row r="182" spans="1:16" x14ac:dyDescent="0.2">
      <c r="A182" s="260"/>
      <c r="B182" s="260"/>
      <c r="C182" s="260"/>
      <c r="D182" s="358"/>
      <c r="E182" s="260"/>
      <c r="F182" s="260"/>
      <c r="G182" s="260"/>
      <c r="H182" s="260"/>
      <c r="I182" s="260"/>
      <c r="J182" s="260"/>
      <c r="K182" s="260"/>
      <c r="L182" s="260"/>
      <c r="M182" s="260"/>
      <c r="N182" s="260"/>
      <c r="O182" s="260"/>
      <c r="P182" s="260"/>
    </row>
    <row r="183" spans="1:16" x14ac:dyDescent="0.2">
      <c r="A183" s="262" t="s">
        <v>33</v>
      </c>
      <c r="B183" s="260"/>
      <c r="C183" s="260"/>
      <c r="D183" s="358"/>
      <c r="E183" s="260"/>
      <c r="F183" s="260"/>
      <c r="G183" s="260"/>
      <c r="H183" s="260"/>
      <c r="I183" s="260"/>
      <c r="J183" s="260"/>
      <c r="K183" s="260"/>
      <c r="L183" s="260"/>
      <c r="M183" s="260"/>
      <c r="N183" s="260"/>
      <c r="O183" s="260"/>
      <c r="P183" s="260"/>
    </row>
    <row r="184" spans="1:16" x14ac:dyDescent="0.2">
      <c r="A184" s="371" t="str">
        <f>A33</f>
        <v>Работни седмици в годината</v>
      </c>
      <c r="B184" s="260"/>
      <c r="C184" s="260"/>
      <c r="D184" s="358" t="s">
        <v>34</v>
      </c>
      <c r="E184" s="260">
        <f>Допускания!C18</f>
        <v>46</v>
      </c>
      <c r="F184" s="260">
        <v>46</v>
      </c>
      <c r="G184" s="260">
        <v>46</v>
      </c>
      <c r="H184" s="260">
        <v>46</v>
      </c>
      <c r="I184" s="260">
        <v>46</v>
      </c>
      <c r="J184" s="260">
        <v>46</v>
      </c>
      <c r="K184" s="260">
        <v>46</v>
      </c>
      <c r="L184" s="260">
        <v>46</v>
      </c>
      <c r="M184" s="260">
        <v>46</v>
      </c>
      <c r="N184" s="260">
        <v>46</v>
      </c>
      <c r="O184" s="260">
        <v>46</v>
      </c>
      <c r="P184" s="260">
        <v>46</v>
      </c>
    </row>
    <row r="185" spans="1:16" x14ac:dyDescent="0.2">
      <c r="A185" s="371" t="str">
        <f t="shared" ref="A185:A190" si="116">A34</f>
        <v>Работни дни седмично</v>
      </c>
      <c r="B185" s="260"/>
      <c r="C185" s="260"/>
      <c r="D185" s="358" t="s">
        <v>28</v>
      </c>
      <c r="E185" s="260">
        <f>Допускания!C19</f>
        <v>5</v>
      </c>
      <c r="F185" s="260">
        <v>5</v>
      </c>
      <c r="G185" s="260">
        <v>5</v>
      </c>
      <c r="H185" s="260">
        <v>5</v>
      </c>
      <c r="I185" s="260">
        <v>5</v>
      </c>
      <c r="J185" s="260">
        <v>5</v>
      </c>
      <c r="K185" s="260">
        <v>5</v>
      </c>
      <c r="L185" s="260">
        <v>5</v>
      </c>
      <c r="M185" s="260">
        <v>5</v>
      </c>
      <c r="N185" s="260">
        <v>5</v>
      </c>
      <c r="O185" s="260">
        <v>5</v>
      </c>
      <c r="P185" s="260">
        <v>5</v>
      </c>
    </row>
    <row r="186" spans="1:16" x14ac:dyDescent="0.2">
      <c r="A186" s="371" t="str">
        <f t="shared" si="116"/>
        <v>Болнични</v>
      </c>
      <c r="B186" s="260"/>
      <c r="C186" s="260"/>
      <c r="D186" s="358"/>
      <c r="E186" s="270">
        <f>Допускания!C20</f>
        <v>0.05</v>
      </c>
      <c r="F186" s="271">
        <v>0.05</v>
      </c>
      <c r="G186" s="271">
        <v>0.05</v>
      </c>
      <c r="H186" s="271">
        <v>0.05</v>
      </c>
      <c r="I186" s="271">
        <v>0.05</v>
      </c>
      <c r="J186" s="271">
        <v>0.05</v>
      </c>
      <c r="K186" s="271">
        <v>0.05</v>
      </c>
      <c r="L186" s="271">
        <v>0.05</v>
      </c>
      <c r="M186" s="271">
        <v>0.05</v>
      </c>
      <c r="N186" s="271">
        <v>0.05</v>
      </c>
      <c r="O186" s="271">
        <v>0.05</v>
      </c>
      <c r="P186" s="271">
        <v>0.05</v>
      </c>
    </row>
    <row r="187" spans="1:16" x14ac:dyDescent="0.2">
      <c r="A187" s="371" t="str">
        <f t="shared" si="116"/>
        <v>Работни дни в годината</v>
      </c>
      <c r="B187" s="260"/>
      <c r="C187" s="260"/>
      <c r="D187" s="358" t="s">
        <v>37</v>
      </c>
      <c r="E187" s="260">
        <f t="shared" ref="E187:P187" si="117">+E184*E185*(1-E186)</f>
        <v>218.5</v>
      </c>
      <c r="F187" s="260">
        <f t="shared" si="117"/>
        <v>218.5</v>
      </c>
      <c r="G187" s="260">
        <f t="shared" si="117"/>
        <v>218.5</v>
      </c>
      <c r="H187" s="260">
        <f t="shared" si="117"/>
        <v>218.5</v>
      </c>
      <c r="I187" s="260">
        <f t="shared" si="117"/>
        <v>218.5</v>
      </c>
      <c r="J187" s="260">
        <f t="shared" si="117"/>
        <v>218.5</v>
      </c>
      <c r="K187" s="260">
        <f t="shared" si="117"/>
        <v>218.5</v>
      </c>
      <c r="L187" s="260">
        <f t="shared" si="117"/>
        <v>218.5</v>
      </c>
      <c r="M187" s="260">
        <f t="shared" si="117"/>
        <v>218.5</v>
      </c>
      <c r="N187" s="260">
        <f t="shared" si="117"/>
        <v>218.5</v>
      </c>
      <c r="O187" s="260">
        <f t="shared" si="117"/>
        <v>218.5</v>
      </c>
      <c r="P187" s="260">
        <f t="shared" si="117"/>
        <v>218.5</v>
      </c>
    </row>
    <row r="188" spans="1:16" x14ac:dyDescent="0.2">
      <c r="A188" s="371" t="str">
        <f t="shared" si="116"/>
        <v>Работни дни седмично</v>
      </c>
      <c r="B188" s="260"/>
      <c r="C188" s="260"/>
      <c r="D188" s="358" t="s">
        <v>28</v>
      </c>
      <c r="E188" s="260">
        <f t="shared" ref="E188:P188" si="118">+E179</f>
        <v>5</v>
      </c>
      <c r="F188" s="260">
        <f t="shared" si="118"/>
        <v>5</v>
      </c>
      <c r="G188" s="260">
        <f t="shared" si="118"/>
        <v>5</v>
      </c>
      <c r="H188" s="260">
        <f t="shared" si="118"/>
        <v>5</v>
      </c>
      <c r="I188" s="260">
        <f t="shared" si="118"/>
        <v>5</v>
      </c>
      <c r="J188" s="260">
        <f t="shared" si="118"/>
        <v>5</v>
      </c>
      <c r="K188" s="260">
        <f t="shared" si="118"/>
        <v>5</v>
      </c>
      <c r="L188" s="260">
        <f t="shared" si="118"/>
        <v>5</v>
      </c>
      <c r="M188" s="260">
        <f t="shared" si="118"/>
        <v>5</v>
      </c>
      <c r="N188" s="260">
        <f t="shared" si="118"/>
        <v>5</v>
      </c>
      <c r="O188" s="260">
        <f t="shared" si="118"/>
        <v>5</v>
      </c>
      <c r="P188" s="260">
        <f t="shared" si="118"/>
        <v>5</v>
      </c>
    </row>
    <row r="189" spans="1:16" x14ac:dyDescent="0.2">
      <c r="A189" s="371" t="str">
        <f t="shared" si="116"/>
        <v>Необходими работни дни</v>
      </c>
      <c r="B189" s="260"/>
      <c r="C189" s="260"/>
      <c r="D189" s="358" t="s">
        <v>37</v>
      </c>
      <c r="E189" s="260">
        <f t="shared" ref="E189:P189" si="119">52*E188</f>
        <v>260</v>
      </c>
      <c r="F189" s="260">
        <f t="shared" si="119"/>
        <v>260</v>
      </c>
      <c r="G189" s="260">
        <f t="shared" si="119"/>
        <v>260</v>
      </c>
      <c r="H189" s="260">
        <f t="shared" si="119"/>
        <v>260</v>
      </c>
      <c r="I189" s="260">
        <f t="shared" si="119"/>
        <v>260</v>
      </c>
      <c r="J189" s="260">
        <f t="shared" si="119"/>
        <v>260</v>
      </c>
      <c r="K189" s="260">
        <f t="shared" si="119"/>
        <v>260</v>
      </c>
      <c r="L189" s="260">
        <f t="shared" si="119"/>
        <v>260</v>
      </c>
      <c r="M189" s="260">
        <f t="shared" si="119"/>
        <v>260</v>
      </c>
      <c r="N189" s="260">
        <f t="shared" si="119"/>
        <v>260</v>
      </c>
      <c r="O189" s="260">
        <f t="shared" si="119"/>
        <v>260</v>
      </c>
      <c r="P189" s="260">
        <f t="shared" si="119"/>
        <v>260</v>
      </c>
    </row>
    <row r="190" spans="1:16" x14ac:dyDescent="0.2">
      <c r="A190" s="371" t="str">
        <f t="shared" si="116"/>
        <v>Човешки фактор</v>
      </c>
      <c r="B190" s="260"/>
      <c r="C190" s="260"/>
      <c r="D190" s="358"/>
      <c r="E190" s="271">
        <f t="shared" ref="E190:P190" si="120">+E189/E187</f>
        <v>1.1899313501144164</v>
      </c>
      <c r="F190" s="271">
        <f t="shared" si="120"/>
        <v>1.1899313501144164</v>
      </c>
      <c r="G190" s="271">
        <f t="shared" si="120"/>
        <v>1.1899313501144164</v>
      </c>
      <c r="H190" s="271">
        <f t="shared" si="120"/>
        <v>1.1899313501144164</v>
      </c>
      <c r="I190" s="271">
        <f t="shared" si="120"/>
        <v>1.1899313501144164</v>
      </c>
      <c r="J190" s="271">
        <f t="shared" si="120"/>
        <v>1.1899313501144164</v>
      </c>
      <c r="K190" s="271">
        <f t="shared" si="120"/>
        <v>1.1899313501144164</v>
      </c>
      <c r="L190" s="271">
        <f t="shared" si="120"/>
        <v>1.1899313501144164</v>
      </c>
      <c r="M190" s="271">
        <f t="shared" si="120"/>
        <v>1.1899313501144164</v>
      </c>
      <c r="N190" s="271">
        <f t="shared" si="120"/>
        <v>1.1899313501144164</v>
      </c>
      <c r="O190" s="271">
        <f t="shared" si="120"/>
        <v>1.1899313501144164</v>
      </c>
      <c r="P190" s="271">
        <f t="shared" si="120"/>
        <v>1.1899313501144164</v>
      </c>
    </row>
    <row r="191" spans="1:16" x14ac:dyDescent="0.2">
      <c r="A191" s="260"/>
      <c r="B191" s="260"/>
      <c r="C191" s="260"/>
      <c r="D191" s="358"/>
      <c r="E191" s="261"/>
      <c r="F191" s="261"/>
      <c r="G191" s="261"/>
      <c r="H191" s="261"/>
      <c r="I191" s="261"/>
      <c r="J191" s="261"/>
      <c r="K191" s="261"/>
      <c r="L191" s="260"/>
      <c r="M191" s="260"/>
      <c r="N191" s="260"/>
      <c r="O191" s="260"/>
      <c r="P191" s="260"/>
    </row>
    <row r="192" spans="1:16" x14ac:dyDescent="0.2">
      <c r="A192" s="262" t="s">
        <v>40</v>
      </c>
      <c r="B192" s="260"/>
      <c r="C192" s="260"/>
      <c r="D192" s="358"/>
      <c r="E192" s="272"/>
      <c r="F192" s="272"/>
      <c r="G192" s="272"/>
      <c r="H192" s="272"/>
      <c r="I192" s="272"/>
      <c r="J192" s="272"/>
      <c r="K192" s="272"/>
      <c r="L192" s="272"/>
      <c r="M192" s="272"/>
      <c r="N192" s="272"/>
      <c r="O192" s="272"/>
      <c r="P192" s="272"/>
    </row>
    <row r="193" spans="1:16" x14ac:dyDescent="0.2">
      <c r="A193" s="371" t="str">
        <f t="shared" ref="A193:A202" si="121">A42</f>
        <v>Плътност на отпадъците</v>
      </c>
      <c r="B193" s="260"/>
      <c r="C193" s="260"/>
      <c r="D193" s="358" t="s">
        <v>41</v>
      </c>
      <c r="E193" s="268">
        <f>'Масов баланс'!E295</f>
        <v>0.35</v>
      </c>
      <c r="F193" s="268">
        <f>'Масов баланс'!F295</f>
        <v>0.35</v>
      </c>
      <c r="G193" s="268">
        <f>'Масов баланс'!G295</f>
        <v>0.35</v>
      </c>
      <c r="H193" s="268">
        <f>'Масов баланс'!H295</f>
        <v>0.35</v>
      </c>
      <c r="I193" s="268">
        <f>'Масов баланс'!I295</f>
        <v>0.35</v>
      </c>
      <c r="J193" s="268">
        <f>'Масов баланс'!J295</f>
        <v>0.35</v>
      </c>
      <c r="K193" s="268">
        <f>'Масов баланс'!K295</f>
        <v>0.35</v>
      </c>
      <c r="L193" s="268">
        <f>'Масов баланс'!L295</f>
        <v>0.35</v>
      </c>
      <c r="M193" s="268">
        <f>'Масов баланс'!M295</f>
        <v>0.35</v>
      </c>
      <c r="N193" s="268">
        <f>'Масов баланс'!N295</f>
        <v>0.35</v>
      </c>
      <c r="O193" s="268">
        <f>'Масов баланс'!O295</f>
        <v>0.35</v>
      </c>
      <c r="P193" s="268">
        <f>'Масов баланс'!P295</f>
        <v>0.35</v>
      </c>
    </row>
    <row r="194" spans="1:16" ht="15" x14ac:dyDescent="0.2">
      <c r="A194" s="371" t="str">
        <f t="shared" si="121"/>
        <v>Обем на отпадъците</v>
      </c>
      <c r="B194" s="260"/>
      <c r="C194" s="260"/>
      <c r="D194" s="358" t="s">
        <v>202</v>
      </c>
      <c r="E194" s="260">
        <f t="shared" ref="E194:P194" si="122">IF(E172=0,0,E172/E193)</f>
        <v>594.85714285714289</v>
      </c>
      <c r="F194" s="273">
        <f t="shared" si="122"/>
        <v>594.85714285714289</v>
      </c>
      <c r="G194" s="273">
        <f t="shared" si="122"/>
        <v>594.85714285714289</v>
      </c>
      <c r="H194" s="273">
        <f t="shared" si="122"/>
        <v>594.85714285714289</v>
      </c>
      <c r="I194" s="273">
        <f t="shared" si="122"/>
        <v>594.85714285714289</v>
      </c>
      <c r="J194" s="273">
        <f t="shared" si="122"/>
        <v>594.85714285714289</v>
      </c>
      <c r="K194" s="273">
        <f t="shared" si="122"/>
        <v>594.85714285714289</v>
      </c>
      <c r="L194" s="273">
        <f t="shared" si="122"/>
        <v>594.85714285714289</v>
      </c>
      <c r="M194" s="273">
        <f t="shared" si="122"/>
        <v>594.85714285714289</v>
      </c>
      <c r="N194" s="273">
        <f t="shared" si="122"/>
        <v>594.85714285714289</v>
      </c>
      <c r="O194" s="273">
        <f t="shared" si="122"/>
        <v>594.85714285714289</v>
      </c>
      <c r="P194" s="273">
        <f t="shared" si="122"/>
        <v>594.85714285714289</v>
      </c>
    </row>
    <row r="195" spans="1:16" ht="15" x14ac:dyDescent="0.2">
      <c r="A195" s="371" t="str">
        <f t="shared" si="121"/>
        <v>Обем на съдовете</v>
      </c>
      <c r="B195" s="260"/>
      <c r="C195" s="260"/>
      <c r="D195" s="358" t="s">
        <v>203</v>
      </c>
      <c r="E195" s="260">
        <f>Допускания!C25</f>
        <v>1.5</v>
      </c>
      <c r="F195" s="260">
        <f t="shared" ref="F195:P195" si="123">E195</f>
        <v>1.5</v>
      </c>
      <c r="G195" s="260">
        <f t="shared" si="123"/>
        <v>1.5</v>
      </c>
      <c r="H195" s="260">
        <f t="shared" si="123"/>
        <v>1.5</v>
      </c>
      <c r="I195" s="260">
        <f t="shared" si="123"/>
        <v>1.5</v>
      </c>
      <c r="J195" s="260">
        <f t="shared" si="123"/>
        <v>1.5</v>
      </c>
      <c r="K195" s="260">
        <f t="shared" si="123"/>
        <v>1.5</v>
      </c>
      <c r="L195" s="260">
        <f t="shared" si="123"/>
        <v>1.5</v>
      </c>
      <c r="M195" s="260">
        <f t="shared" si="123"/>
        <v>1.5</v>
      </c>
      <c r="N195" s="260">
        <f t="shared" si="123"/>
        <v>1.5</v>
      </c>
      <c r="O195" s="260">
        <f t="shared" si="123"/>
        <v>1.5</v>
      </c>
      <c r="P195" s="260">
        <f t="shared" si="123"/>
        <v>1.5</v>
      </c>
    </row>
    <row r="196" spans="1:16" x14ac:dyDescent="0.2">
      <c r="A196" s="371" t="str">
        <f t="shared" si="121"/>
        <v>Честота на събиране годишно</v>
      </c>
      <c r="B196" s="260"/>
      <c r="C196" s="260"/>
      <c r="D196" s="358" t="s">
        <v>45</v>
      </c>
      <c r="E196" s="260">
        <f>Допускания!C33</f>
        <v>12</v>
      </c>
      <c r="F196" s="260">
        <f t="shared" ref="F196:P196" si="124">+E196</f>
        <v>12</v>
      </c>
      <c r="G196" s="260">
        <f t="shared" si="124"/>
        <v>12</v>
      </c>
      <c r="H196" s="260">
        <f t="shared" si="124"/>
        <v>12</v>
      </c>
      <c r="I196" s="260">
        <f t="shared" si="124"/>
        <v>12</v>
      </c>
      <c r="J196" s="260">
        <f t="shared" si="124"/>
        <v>12</v>
      </c>
      <c r="K196" s="260">
        <f t="shared" si="124"/>
        <v>12</v>
      </c>
      <c r="L196" s="260">
        <f t="shared" si="124"/>
        <v>12</v>
      </c>
      <c r="M196" s="260">
        <f t="shared" si="124"/>
        <v>12</v>
      </c>
      <c r="N196" s="260">
        <f t="shared" si="124"/>
        <v>12</v>
      </c>
      <c r="O196" s="260">
        <f t="shared" si="124"/>
        <v>12</v>
      </c>
      <c r="P196" s="260">
        <f t="shared" si="124"/>
        <v>12</v>
      </c>
    </row>
    <row r="197" spans="1:16" x14ac:dyDescent="0.2">
      <c r="A197" s="371" t="str">
        <f t="shared" si="121"/>
        <v>Средна запълненост на контейнерите</v>
      </c>
      <c r="B197" s="260"/>
      <c r="C197" s="260"/>
      <c r="D197" s="358" t="s">
        <v>19</v>
      </c>
      <c r="E197" s="270">
        <f>Допускания!C40</f>
        <v>0.9</v>
      </c>
      <c r="F197" s="270">
        <f t="shared" ref="F197:P197" si="125">+E197</f>
        <v>0.9</v>
      </c>
      <c r="G197" s="270">
        <f t="shared" si="125"/>
        <v>0.9</v>
      </c>
      <c r="H197" s="270">
        <f t="shared" si="125"/>
        <v>0.9</v>
      </c>
      <c r="I197" s="270">
        <f t="shared" si="125"/>
        <v>0.9</v>
      </c>
      <c r="J197" s="270">
        <f t="shared" si="125"/>
        <v>0.9</v>
      </c>
      <c r="K197" s="270">
        <f t="shared" si="125"/>
        <v>0.9</v>
      </c>
      <c r="L197" s="270">
        <f t="shared" si="125"/>
        <v>0.9</v>
      </c>
      <c r="M197" s="270">
        <f t="shared" si="125"/>
        <v>0.9</v>
      </c>
      <c r="N197" s="270">
        <f t="shared" si="125"/>
        <v>0.9</v>
      </c>
      <c r="O197" s="270">
        <f t="shared" si="125"/>
        <v>0.9</v>
      </c>
      <c r="P197" s="270">
        <f t="shared" si="125"/>
        <v>0.9</v>
      </c>
    </row>
    <row r="198" spans="1:16" x14ac:dyDescent="0.2">
      <c r="A198" s="371" t="str">
        <f t="shared" si="121"/>
        <v>Коефициент на неравномерност</v>
      </c>
      <c r="B198" s="260"/>
      <c r="C198" s="260"/>
      <c r="D198" s="358"/>
      <c r="E198" s="260">
        <f>E122</f>
        <v>1.2</v>
      </c>
      <c r="F198" s="260">
        <f t="shared" ref="F198:P198" si="126">E198</f>
        <v>1.2</v>
      </c>
      <c r="G198" s="260">
        <f t="shared" si="126"/>
        <v>1.2</v>
      </c>
      <c r="H198" s="260">
        <f t="shared" si="126"/>
        <v>1.2</v>
      </c>
      <c r="I198" s="260">
        <f t="shared" si="126"/>
        <v>1.2</v>
      </c>
      <c r="J198" s="260">
        <f t="shared" si="126"/>
        <v>1.2</v>
      </c>
      <c r="K198" s="260">
        <f t="shared" si="126"/>
        <v>1.2</v>
      </c>
      <c r="L198" s="260">
        <f t="shared" si="126"/>
        <v>1.2</v>
      </c>
      <c r="M198" s="260">
        <f t="shared" si="126"/>
        <v>1.2</v>
      </c>
      <c r="N198" s="260">
        <f t="shared" si="126"/>
        <v>1.2</v>
      </c>
      <c r="O198" s="260">
        <f t="shared" si="126"/>
        <v>1.2</v>
      </c>
      <c r="P198" s="260">
        <f t="shared" si="126"/>
        <v>1.2</v>
      </c>
    </row>
    <row r="199" spans="1:16" x14ac:dyDescent="0.2">
      <c r="A199" s="371" t="str">
        <f t="shared" si="121"/>
        <v>Необходим брой контейнери</v>
      </c>
      <c r="B199" s="260"/>
      <c r="C199" s="260"/>
      <c r="D199" s="358" t="s">
        <v>49</v>
      </c>
      <c r="E199" s="260">
        <f t="shared" ref="E199:P199" si="127">IF(E172=0,0,ROUNDUP((E194/E197/E195)*E198/E196,))</f>
        <v>45</v>
      </c>
      <c r="F199" s="260">
        <f t="shared" si="127"/>
        <v>45</v>
      </c>
      <c r="G199" s="260">
        <f t="shared" si="127"/>
        <v>45</v>
      </c>
      <c r="H199" s="260">
        <f t="shared" si="127"/>
        <v>45</v>
      </c>
      <c r="I199" s="260">
        <f t="shared" si="127"/>
        <v>45</v>
      </c>
      <c r="J199" s="260">
        <f t="shared" si="127"/>
        <v>45</v>
      </c>
      <c r="K199" s="260">
        <f t="shared" si="127"/>
        <v>45</v>
      </c>
      <c r="L199" s="260">
        <f t="shared" si="127"/>
        <v>45</v>
      </c>
      <c r="M199" s="260">
        <f t="shared" si="127"/>
        <v>45</v>
      </c>
      <c r="N199" s="260">
        <f t="shared" si="127"/>
        <v>45</v>
      </c>
      <c r="O199" s="260">
        <f t="shared" si="127"/>
        <v>45</v>
      </c>
      <c r="P199" s="260">
        <f t="shared" si="127"/>
        <v>45</v>
      </c>
    </row>
    <row r="200" spans="1:16" x14ac:dyDescent="0.2">
      <c r="A200" s="371" t="str">
        <f t="shared" si="121"/>
        <v>Контейнери за разполагане</v>
      </c>
      <c r="B200" s="260"/>
      <c r="C200" s="260"/>
      <c r="D200" s="358" t="s">
        <v>49</v>
      </c>
      <c r="E200" s="260">
        <f t="shared" ref="E200:P200" si="128">MAX(E199,E123,E48)</f>
        <v>142</v>
      </c>
      <c r="F200" s="260">
        <f t="shared" si="128"/>
        <v>142</v>
      </c>
      <c r="G200" s="260">
        <f t="shared" si="128"/>
        <v>142</v>
      </c>
      <c r="H200" s="260">
        <f t="shared" si="128"/>
        <v>142</v>
      </c>
      <c r="I200" s="260">
        <f t="shared" si="128"/>
        <v>142</v>
      </c>
      <c r="J200" s="260">
        <f t="shared" si="128"/>
        <v>142</v>
      </c>
      <c r="K200" s="260">
        <f t="shared" si="128"/>
        <v>142</v>
      </c>
      <c r="L200" s="260">
        <f t="shared" si="128"/>
        <v>142</v>
      </c>
      <c r="M200" s="260">
        <f t="shared" si="128"/>
        <v>142</v>
      </c>
      <c r="N200" s="260">
        <f t="shared" si="128"/>
        <v>142</v>
      </c>
      <c r="O200" s="260">
        <f t="shared" si="128"/>
        <v>142</v>
      </c>
      <c r="P200" s="260">
        <f t="shared" si="128"/>
        <v>142</v>
      </c>
    </row>
    <row r="201" spans="1:16" ht="15" x14ac:dyDescent="0.2">
      <c r="A201" s="371" t="str">
        <f t="shared" si="121"/>
        <v>Среден обем на отпадъците във вдигнат контейнер</v>
      </c>
      <c r="B201" s="274"/>
      <c r="C201" s="274"/>
      <c r="D201" s="358" t="s">
        <v>203</v>
      </c>
      <c r="E201" s="275">
        <f t="shared" ref="E201:P201" si="129">IF(E200=0,0,E194/E200/E196)</f>
        <v>0.34909456740442657</v>
      </c>
      <c r="F201" s="275">
        <f t="shared" si="129"/>
        <v>0.34909456740442657</v>
      </c>
      <c r="G201" s="275">
        <f t="shared" si="129"/>
        <v>0.34909456740442657</v>
      </c>
      <c r="H201" s="275">
        <f t="shared" si="129"/>
        <v>0.34909456740442657</v>
      </c>
      <c r="I201" s="275">
        <f t="shared" si="129"/>
        <v>0.34909456740442657</v>
      </c>
      <c r="J201" s="275">
        <f t="shared" si="129"/>
        <v>0.34909456740442657</v>
      </c>
      <c r="K201" s="275">
        <f t="shared" si="129"/>
        <v>0.34909456740442657</v>
      </c>
      <c r="L201" s="275">
        <f t="shared" si="129"/>
        <v>0.34909456740442657</v>
      </c>
      <c r="M201" s="275">
        <f t="shared" si="129"/>
        <v>0.34909456740442657</v>
      </c>
      <c r="N201" s="275">
        <f t="shared" si="129"/>
        <v>0.34909456740442657</v>
      </c>
      <c r="O201" s="275">
        <f t="shared" si="129"/>
        <v>0.34909456740442657</v>
      </c>
      <c r="P201" s="275">
        <f t="shared" si="129"/>
        <v>0.34909456740442657</v>
      </c>
    </row>
    <row r="202" spans="1:16" x14ac:dyDescent="0.2">
      <c r="A202" s="371" t="str">
        <f t="shared" si="121"/>
        <v>Средно количество отпадъци от вдигнат контейнер</v>
      </c>
      <c r="B202" s="274"/>
      <c r="C202" s="274"/>
      <c r="D202" s="358" t="s">
        <v>43</v>
      </c>
      <c r="E202" s="276">
        <f t="shared" ref="E202:P202" si="130">+E201*E193</f>
        <v>0.12218309859154929</v>
      </c>
      <c r="F202" s="276">
        <f t="shared" si="130"/>
        <v>0.12218309859154929</v>
      </c>
      <c r="G202" s="276">
        <f t="shared" si="130"/>
        <v>0.12218309859154929</v>
      </c>
      <c r="H202" s="276">
        <f t="shared" si="130"/>
        <v>0.12218309859154929</v>
      </c>
      <c r="I202" s="276">
        <f t="shared" si="130"/>
        <v>0.12218309859154929</v>
      </c>
      <c r="J202" s="276">
        <f t="shared" si="130"/>
        <v>0.12218309859154929</v>
      </c>
      <c r="K202" s="276">
        <f t="shared" si="130"/>
        <v>0.12218309859154929</v>
      </c>
      <c r="L202" s="276">
        <f t="shared" si="130"/>
        <v>0.12218309859154929</v>
      </c>
      <c r="M202" s="276">
        <f t="shared" si="130"/>
        <v>0.12218309859154929</v>
      </c>
      <c r="N202" s="276">
        <f t="shared" si="130"/>
        <v>0.12218309859154929</v>
      </c>
      <c r="O202" s="276">
        <f t="shared" si="130"/>
        <v>0.12218309859154929</v>
      </c>
      <c r="P202" s="276">
        <f t="shared" si="130"/>
        <v>0.12218309859154929</v>
      </c>
    </row>
    <row r="203" spans="1:16" x14ac:dyDescent="0.2">
      <c r="A203" s="260"/>
      <c r="B203" s="260"/>
      <c r="C203" s="260"/>
      <c r="D203" s="358"/>
      <c r="E203" s="277"/>
      <c r="F203" s="277"/>
      <c r="G203" s="277"/>
      <c r="H203" s="277"/>
      <c r="I203" s="277"/>
      <c r="J203" s="277"/>
      <c r="K203" s="277"/>
      <c r="L203" s="277"/>
      <c r="M203" s="277"/>
      <c r="N203" s="277"/>
      <c r="O203" s="277"/>
      <c r="P203" s="277"/>
    </row>
    <row r="204" spans="1:16" x14ac:dyDescent="0.2">
      <c r="A204" s="262" t="s">
        <v>48</v>
      </c>
      <c r="B204" s="260"/>
      <c r="C204" s="260"/>
      <c r="D204" s="358"/>
      <c r="E204" s="272">
        <f t="shared" ref="E204:P204" si="131">+E200*(1+E205)</f>
        <v>149.1</v>
      </c>
      <c r="F204" s="272">
        <f t="shared" si="131"/>
        <v>149.1</v>
      </c>
      <c r="G204" s="272">
        <f t="shared" si="131"/>
        <v>149.1</v>
      </c>
      <c r="H204" s="272">
        <f t="shared" si="131"/>
        <v>149.1</v>
      </c>
      <c r="I204" s="272">
        <f t="shared" si="131"/>
        <v>149.1</v>
      </c>
      <c r="J204" s="272">
        <f t="shared" si="131"/>
        <v>149.1</v>
      </c>
      <c r="K204" s="272">
        <f t="shared" si="131"/>
        <v>149.1</v>
      </c>
      <c r="L204" s="272">
        <f t="shared" si="131"/>
        <v>149.1</v>
      </c>
      <c r="M204" s="272">
        <f t="shared" si="131"/>
        <v>149.1</v>
      </c>
      <c r="N204" s="272">
        <f t="shared" si="131"/>
        <v>149.1</v>
      </c>
      <c r="O204" s="272">
        <f t="shared" si="131"/>
        <v>149.1</v>
      </c>
      <c r="P204" s="272">
        <f t="shared" si="131"/>
        <v>149.1</v>
      </c>
    </row>
    <row r="205" spans="1:16" x14ac:dyDescent="0.2">
      <c r="A205" s="371" t="str">
        <f>A54</f>
        <v>Резерви за поддръжка</v>
      </c>
      <c r="B205" s="260"/>
      <c r="C205" s="260"/>
      <c r="D205" s="358"/>
      <c r="E205" s="278">
        <f t="shared" ref="E205:P205" si="132">E54</f>
        <v>0.05</v>
      </c>
      <c r="F205" s="278">
        <f t="shared" si="132"/>
        <v>0.05</v>
      </c>
      <c r="G205" s="278">
        <f t="shared" si="132"/>
        <v>0.05</v>
      </c>
      <c r="H205" s="278">
        <f t="shared" si="132"/>
        <v>0.05</v>
      </c>
      <c r="I205" s="278">
        <f t="shared" si="132"/>
        <v>0.05</v>
      </c>
      <c r="J205" s="278">
        <f t="shared" si="132"/>
        <v>0.05</v>
      </c>
      <c r="K205" s="278">
        <f t="shared" si="132"/>
        <v>0.05</v>
      </c>
      <c r="L205" s="278">
        <f t="shared" si="132"/>
        <v>0.05</v>
      </c>
      <c r="M205" s="278">
        <f t="shared" si="132"/>
        <v>0.05</v>
      </c>
      <c r="N205" s="278">
        <f t="shared" si="132"/>
        <v>0.05</v>
      </c>
      <c r="O205" s="278">
        <f t="shared" si="132"/>
        <v>0.05</v>
      </c>
      <c r="P205" s="278">
        <f t="shared" si="132"/>
        <v>0.05</v>
      </c>
    </row>
    <row r="206" spans="1:16" x14ac:dyDescent="0.2">
      <c r="A206" s="371" t="str">
        <f>A55</f>
        <v>Среден брой необходими контейнери</v>
      </c>
      <c r="B206" s="260"/>
      <c r="C206" s="260"/>
      <c r="D206" s="358"/>
      <c r="E206" s="272">
        <f t="shared" ref="E206:P206" si="133">+E204</f>
        <v>149.1</v>
      </c>
      <c r="F206" s="272">
        <f t="shared" si="133"/>
        <v>149.1</v>
      </c>
      <c r="G206" s="272">
        <f t="shared" si="133"/>
        <v>149.1</v>
      </c>
      <c r="H206" s="272">
        <f t="shared" si="133"/>
        <v>149.1</v>
      </c>
      <c r="I206" s="272">
        <f t="shared" si="133"/>
        <v>149.1</v>
      </c>
      <c r="J206" s="272">
        <f t="shared" si="133"/>
        <v>149.1</v>
      </c>
      <c r="K206" s="272">
        <f t="shared" si="133"/>
        <v>149.1</v>
      </c>
      <c r="L206" s="272">
        <f t="shared" si="133"/>
        <v>149.1</v>
      </c>
      <c r="M206" s="272">
        <f t="shared" si="133"/>
        <v>149.1</v>
      </c>
      <c r="N206" s="272">
        <f t="shared" si="133"/>
        <v>149.1</v>
      </c>
      <c r="O206" s="272">
        <f t="shared" si="133"/>
        <v>149.1</v>
      </c>
      <c r="P206" s="272">
        <f t="shared" si="133"/>
        <v>149.1</v>
      </c>
    </row>
    <row r="207" spans="1:16" x14ac:dyDescent="0.2">
      <c r="A207" s="260"/>
      <c r="B207" s="260"/>
      <c r="C207" s="260"/>
      <c r="D207" s="358"/>
      <c r="E207" s="265"/>
      <c r="F207" s="265"/>
      <c r="G207" s="265"/>
      <c r="H207" s="265"/>
      <c r="I207" s="265"/>
      <c r="J207" s="265"/>
      <c r="K207" s="265"/>
      <c r="L207" s="265"/>
      <c r="M207" s="265"/>
      <c r="N207" s="265"/>
      <c r="O207" s="265"/>
      <c r="P207" s="265"/>
    </row>
    <row r="208" spans="1:16" x14ac:dyDescent="0.2">
      <c r="A208" s="285" t="s">
        <v>173</v>
      </c>
      <c r="B208" s="260"/>
      <c r="C208" s="260"/>
      <c r="D208" s="358"/>
      <c r="E208" s="279"/>
      <c r="F208" s="279"/>
      <c r="G208" s="279"/>
      <c r="H208" s="279"/>
      <c r="I208" s="279"/>
      <c r="J208" s="279"/>
      <c r="K208" s="279"/>
      <c r="L208" s="279"/>
      <c r="M208" s="279"/>
      <c r="N208" s="279"/>
      <c r="O208" s="279"/>
      <c r="P208" s="279"/>
    </row>
    <row r="209" spans="1:16" x14ac:dyDescent="0.2">
      <c r="A209" s="371" t="str">
        <f>A58</f>
        <v>Товароносимост</v>
      </c>
      <c r="B209" s="260"/>
      <c r="C209" s="260"/>
      <c r="D209" s="358" t="s">
        <v>22</v>
      </c>
      <c r="E209" s="279">
        <f>Допускания!C46*0.3</f>
        <v>5.3999999999999995</v>
      </c>
      <c r="F209" s="279">
        <f t="shared" ref="F209:P209" si="134">+E209</f>
        <v>5.3999999999999995</v>
      </c>
      <c r="G209" s="279">
        <f t="shared" si="134"/>
        <v>5.3999999999999995</v>
      </c>
      <c r="H209" s="279">
        <f t="shared" si="134"/>
        <v>5.3999999999999995</v>
      </c>
      <c r="I209" s="279">
        <f t="shared" si="134"/>
        <v>5.3999999999999995</v>
      </c>
      <c r="J209" s="279">
        <f t="shared" si="134"/>
        <v>5.3999999999999995</v>
      </c>
      <c r="K209" s="279">
        <f t="shared" si="134"/>
        <v>5.3999999999999995</v>
      </c>
      <c r="L209" s="279">
        <f t="shared" si="134"/>
        <v>5.3999999999999995</v>
      </c>
      <c r="M209" s="279">
        <f t="shared" si="134"/>
        <v>5.3999999999999995</v>
      </c>
      <c r="N209" s="279">
        <f t="shared" si="134"/>
        <v>5.3999999999999995</v>
      </c>
      <c r="O209" s="279">
        <f t="shared" si="134"/>
        <v>5.3999999999999995</v>
      </c>
      <c r="P209" s="279">
        <f t="shared" si="134"/>
        <v>5.3999999999999995</v>
      </c>
    </row>
    <row r="210" spans="1:16" x14ac:dyDescent="0.2">
      <c r="A210" s="371" t="str">
        <f>A59</f>
        <v>Оползотворяване на капацитета</v>
      </c>
      <c r="B210" s="260"/>
      <c r="C210" s="260"/>
      <c r="D210" s="358" t="s">
        <v>56</v>
      </c>
      <c r="E210" s="270">
        <v>0.9</v>
      </c>
      <c r="F210" s="270">
        <f t="shared" ref="F210:P210" si="135">+E210</f>
        <v>0.9</v>
      </c>
      <c r="G210" s="270">
        <f t="shared" si="135"/>
        <v>0.9</v>
      </c>
      <c r="H210" s="270">
        <f t="shared" si="135"/>
        <v>0.9</v>
      </c>
      <c r="I210" s="270">
        <f t="shared" si="135"/>
        <v>0.9</v>
      </c>
      <c r="J210" s="270">
        <f t="shared" si="135"/>
        <v>0.9</v>
      </c>
      <c r="K210" s="270">
        <f t="shared" si="135"/>
        <v>0.9</v>
      </c>
      <c r="L210" s="270">
        <f t="shared" si="135"/>
        <v>0.9</v>
      </c>
      <c r="M210" s="270">
        <f t="shared" si="135"/>
        <v>0.9</v>
      </c>
      <c r="N210" s="270">
        <f t="shared" si="135"/>
        <v>0.9</v>
      </c>
      <c r="O210" s="270">
        <f t="shared" si="135"/>
        <v>0.9</v>
      </c>
      <c r="P210" s="270">
        <f t="shared" si="135"/>
        <v>0.9</v>
      </c>
    </row>
    <row r="211" spans="1:16" x14ac:dyDescent="0.2">
      <c r="A211" s="371" t="str">
        <f>A60</f>
        <v>Средно опозотворен капацитет</v>
      </c>
      <c r="B211" s="260"/>
      <c r="C211" s="260"/>
      <c r="D211" s="358" t="s">
        <v>22</v>
      </c>
      <c r="E211" s="279">
        <f t="shared" ref="E211:P211" si="136">+E209*E210</f>
        <v>4.8599999999999994</v>
      </c>
      <c r="F211" s="279">
        <f t="shared" si="136"/>
        <v>4.8599999999999994</v>
      </c>
      <c r="G211" s="279">
        <f t="shared" si="136"/>
        <v>4.8599999999999994</v>
      </c>
      <c r="H211" s="279">
        <f t="shared" si="136"/>
        <v>4.8599999999999994</v>
      </c>
      <c r="I211" s="279">
        <f t="shared" si="136"/>
        <v>4.8599999999999994</v>
      </c>
      <c r="J211" s="279">
        <f t="shared" si="136"/>
        <v>4.8599999999999994</v>
      </c>
      <c r="K211" s="279">
        <f t="shared" si="136"/>
        <v>4.8599999999999994</v>
      </c>
      <c r="L211" s="279">
        <f t="shared" si="136"/>
        <v>4.8599999999999994</v>
      </c>
      <c r="M211" s="279">
        <f t="shared" si="136"/>
        <v>4.8599999999999994</v>
      </c>
      <c r="N211" s="279">
        <f t="shared" si="136"/>
        <v>4.8599999999999994</v>
      </c>
      <c r="O211" s="279">
        <f t="shared" si="136"/>
        <v>4.8599999999999994</v>
      </c>
      <c r="P211" s="279">
        <f t="shared" si="136"/>
        <v>4.8599999999999994</v>
      </c>
    </row>
    <row r="212" spans="1:16" x14ac:dyDescent="0.2">
      <c r="A212" s="371" t="str">
        <f>A61</f>
        <v>Наличност на автомобилите</v>
      </c>
      <c r="B212" s="260"/>
      <c r="C212" s="260"/>
      <c r="D212" s="358"/>
      <c r="E212" s="270">
        <v>0.85</v>
      </c>
      <c r="F212" s="270">
        <f t="shared" ref="F212:P212" si="137">+E212</f>
        <v>0.85</v>
      </c>
      <c r="G212" s="270">
        <f t="shared" si="137"/>
        <v>0.85</v>
      </c>
      <c r="H212" s="270">
        <f t="shared" si="137"/>
        <v>0.85</v>
      </c>
      <c r="I212" s="270">
        <f t="shared" si="137"/>
        <v>0.85</v>
      </c>
      <c r="J212" s="270">
        <f t="shared" si="137"/>
        <v>0.85</v>
      </c>
      <c r="K212" s="270">
        <f t="shared" si="137"/>
        <v>0.85</v>
      </c>
      <c r="L212" s="270">
        <f t="shared" si="137"/>
        <v>0.85</v>
      </c>
      <c r="M212" s="270">
        <f t="shared" si="137"/>
        <v>0.85</v>
      </c>
      <c r="N212" s="270">
        <f t="shared" si="137"/>
        <v>0.85</v>
      </c>
      <c r="O212" s="270">
        <f t="shared" si="137"/>
        <v>0.85</v>
      </c>
      <c r="P212" s="270">
        <f t="shared" si="137"/>
        <v>0.85</v>
      </c>
    </row>
    <row r="213" spans="1:16" x14ac:dyDescent="0.2">
      <c r="A213" s="260"/>
      <c r="B213" s="260"/>
      <c r="C213" s="260"/>
      <c r="D213" s="358"/>
      <c r="E213" s="270"/>
      <c r="F213" s="270"/>
      <c r="G213" s="270"/>
      <c r="H213" s="270"/>
      <c r="I213" s="270"/>
      <c r="J213" s="270"/>
      <c r="K213" s="270"/>
      <c r="L213" s="270"/>
      <c r="M213" s="270"/>
      <c r="N213" s="270"/>
      <c r="O213" s="270"/>
      <c r="P213" s="270"/>
    </row>
    <row r="214" spans="1:16" x14ac:dyDescent="0.2">
      <c r="A214" s="262" t="s">
        <v>59</v>
      </c>
      <c r="B214" s="260"/>
      <c r="C214" s="260"/>
      <c r="D214" s="358"/>
      <c r="E214" s="270"/>
      <c r="F214" s="270"/>
      <c r="G214" s="270"/>
      <c r="H214" s="270"/>
      <c r="I214" s="270"/>
      <c r="J214" s="270"/>
      <c r="K214" s="270"/>
      <c r="L214" s="270"/>
      <c r="M214" s="270"/>
      <c r="N214" s="270"/>
      <c r="O214" s="270"/>
      <c r="P214" s="270"/>
    </row>
    <row r="215" spans="1:16" x14ac:dyDescent="0.2">
      <c r="A215" s="371" t="str">
        <f t="shared" ref="A215:A237" si="138">A64</f>
        <v>Средно разстояние до площадката за разтоварване</v>
      </c>
      <c r="B215" s="260"/>
      <c r="C215" s="260"/>
      <c r="D215" s="358" t="s">
        <v>61</v>
      </c>
      <c r="E215" s="272">
        <f>E64</f>
        <v>20</v>
      </c>
      <c r="F215" s="272">
        <f t="shared" ref="F215:P215" si="139">+E215</f>
        <v>20</v>
      </c>
      <c r="G215" s="272">
        <f t="shared" si="139"/>
        <v>20</v>
      </c>
      <c r="H215" s="272">
        <f t="shared" si="139"/>
        <v>20</v>
      </c>
      <c r="I215" s="272">
        <f t="shared" si="139"/>
        <v>20</v>
      </c>
      <c r="J215" s="272">
        <f t="shared" si="139"/>
        <v>20</v>
      </c>
      <c r="K215" s="272">
        <f t="shared" si="139"/>
        <v>20</v>
      </c>
      <c r="L215" s="272">
        <f t="shared" si="139"/>
        <v>20</v>
      </c>
      <c r="M215" s="272">
        <f t="shared" si="139"/>
        <v>20</v>
      </c>
      <c r="N215" s="272">
        <f t="shared" si="139"/>
        <v>20</v>
      </c>
      <c r="O215" s="272">
        <f t="shared" si="139"/>
        <v>20</v>
      </c>
      <c r="P215" s="272">
        <f t="shared" si="139"/>
        <v>20</v>
      </c>
    </row>
    <row r="216" spans="1:16" x14ac:dyDescent="0.2">
      <c r="A216" s="371" t="str">
        <f t="shared" si="138"/>
        <v>Средна скорост при пътуване</v>
      </c>
      <c r="B216" s="260"/>
      <c r="C216" s="260"/>
      <c r="D216" s="358" t="s">
        <v>63</v>
      </c>
      <c r="E216" s="272">
        <f>E65</f>
        <v>30</v>
      </c>
      <c r="F216" s="272">
        <f t="shared" ref="F216:P216" si="140">E216</f>
        <v>30</v>
      </c>
      <c r="G216" s="272">
        <f t="shared" si="140"/>
        <v>30</v>
      </c>
      <c r="H216" s="272">
        <f t="shared" si="140"/>
        <v>30</v>
      </c>
      <c r="I216" s="272">
        <f t="shared" si="140"/>
        <v>30</v>
      </c>
      <c r="J216" s="272">
        <f t="shared" si="140"/>
        <v>30</v>
      </c>
      <c r="K216" s="272">
        <f t="shared" si="140"/>
        <v>30</v>
      </c>
      <c r="L216" s="272">
        <f t="shared" si="140"/>
        <v>30</v>
      </c>
      <c r="M216" s="272">
        <f t="shared" si="140"/>
        <v>30</v>
      </c>
      <c r="N216" s="272">
        <f t="shared" si="140"/>
        <v>30</v>
      </c>
      <c r="O216" s="272">
        <f t="shared" si="140"/>
        <v>30</v>
      </c>
      <c r="P216" s="272">
        <f t="shared" si="140"/>
        <v>30</v>
      </c>
    </row>
    <row r="217" spans="1:16" x14ac:dyDescent="0.2">
      <c r="A217" s="371" t="str">
        <f t="shared" si="138"/>
        <v>Средно време за път към и от площадката за разтоварване</v>
      </c>
      <c r="B217" s="260"/>
      <c r="C217" s="260"/>
      <c r="D217" s="358" t="s">
        <v>30</v>
      </c>
      <c r="E217" s="280">
        <f t="shared" ref="E217:P217" si="141">+E215*2/E216</f>
        <v>1.3333333333333333</v>
      </c>
      <c r="F217" s="280">
        <f t="shared" si="141"/>
        <v>1.3333333333333333</v>
      </c>
      <c r="G217" s="280">
        <f t="shared" si="141"/>
        <v>1.3333333333333333</v>
      </c>
      <c r="H217" s="280">
        <f t="shared" si="141"/>
        <v>1.3333333333333333</v>
      </c>
      <c r="I217" s="280">
        <f t="shared" si="141"/>
        <v>1.3333333333333333</v>
      </c>
      <c r="J217" s="280">
        <f t="shared" si="141"/>
        <v>1.3333333333333333</v>
      </c>
      <c r="K217" s="280">
        <f t="shared" si="141"/>
        <v>1.3333333333333333</v>
      </c>
      <c r="L217" s="280">
        <f t="shared" si="141"/>
        <v>1.3333333333333333</v>
      </c>
      <c r="M217" s="280">
        <f t="shared" si="141"/>
        <v>1.3333333333333333</v>
      </c>
      <c r="N217" s="280">
        <f t="shared" si="141"/>
        <v>1.3333333333333333</v>
      </c>
      <c r="O217" s="280">
        <f t="shared" si="141"/>
        <v>1.3333333333333333</v>
      </c>
      <c r="P217" s="280">
        <f t="shared" si="141"/>
        <v>1.3333333333333333</v>
      </c>
    </row>
    <row r="218" spans="1:16" s="373" customFormat="1" x14ac:dyDescent="0.2">
      <c r="A218" s="371" t="str">
        <f t="shared" si="138"/>
        <v>Средно време на площадката за разтоварване</v>
      </c>
      <c r="B218" s="371"/>
      <c r="C218" s="371"/>
      <c r="D218" s="358" t="s">
        <v>30</v>
      </c>
      <c r="E218" s="372">
        <f>E67</f>
        <v>0.5</v>
      </c>
      <c r="F218" s="372">
        <f t="shared" ref="F218:P218" si="142">E218</f>
        <v>0.5</v>
      </c>
      <c r="G218" s="372">
        <f t="shared" si="142"/>
        <v>0.5</v>
      </c>
      <c r="H218" s="372">
        <f t="shared" si="142"/>
        <v>0.5</v>
      </c>
      <c r="I218" s="372">
        <f t="shared" si="142"/>
        <v>0.5</v>
      </c>
      <c r="J218" s="372">
        <f t="shared" si="142"/>
        <v>0.5</v>
      </c>
      <c r="K218" s="372">
        <f t="shared" si="142"/>
        <v>0.5</v>
      </c>
      <c r="L218" s="372">
        <f t="shared" si="142"/>
        <v>0.5</v>
      </c>
      <c r="M218" s="372">
        <f t="shared" si="142"/>
        <v>0.5</v>
      </c>
      <c r="N218" s="372">
        <f t="shared" si="142"/>
        <v>0.5</v>
      </c>
      <c r="O218" s="372">
        <f t="shared" si="142"/>
        <v>0.5</v>
      </c>
      <c r="P218" s="372">
        <f t="shared" si="142"/>
        <v>0.5</v>
      </c>
    </row>
    <row r="219" spans="1:16" x14ac:dyDescent="0.2">
      <c r="A219" s="371" t="str">
        <f t="shared" si="138"/>
        <v>Общо време за пътуване/курс</v>
      </c>
      <c r="B219" s="260"/>
      <c r="C219" s="260"/>
      <c r="D219" s="358" t="s">
        <v>30</v>
      </c>
      <c r="E219" s="280">
        <f t="shared" ref="E219:P219" si="143">+E218+E217</f>
        <v>1.8333333333333333</v>
      </c>
      <c r="F219" s="280">
        <f t="shared" si="143"/>
        <v>1.8333333333333333</v>
      </c>
      <c r="G219" s="280">
        <f t="shared" si="143"/>
        <v>1.8333333333333333</v>
      </c>
      <c r="H219" s="280">
        <f t="shared" si="143"/>
        <v>1.8333333333333333</v>
      </c>
      <c r="I219" s="280">
        <f t="shared" si="143"/>
        <v>1.8333333333333333</v>
      </c>
      <c r="J219" s="280">
        <f t="shared" si="143"/>
        <v>1.8333333333333333</v>
      </c>
      <c r="K219" s="280">
        <f t="shared" si="143"/>
        <v>1.8333333333333333</v>
      </c>
      <c r="L219" s="280">
        <f t="shared" si="143"/>
        <v>1.8333333333333333</v>
      </c>
      <c r="M219" s="280">
        <f t="shared" si="143"/>
        <v>1.8333333333333333</v>
      </c>
      <c r="N219" s="280">
        <f t="shared" si="143"/>
        <v>1.8333333333333333</v>
      </c>
      <c r="O219" s="280">
        <f t="shared" si="143"/>
        <v>1.8333333333333333</v>
      </c>
      <c r="P219" s="280">
        <f t="shared" si="143"/>
        <v>1.8333333333333333</v>
      </c>
    </row>
    <row r="220" spans="1:16" x14ac:dyDescent="0.2">
      <c r="A220" s="371" t="str">
        <f t="shared" si="138"/>
        <v>Време за натоварване за един контейнер</v>
      </c>
      <c r="B220" s="260"/>
      <c r="C220" s="260"/>
      <c r="D220" s="358" t="s">
        <v>68</v>
      </c>
      <c r="E220" s="280">
        <f>Допускания!C54</f>
        <v>3.5</v>
      </c>
      <c r="F220" s="280">
        <f t="shared" ref="F220:P220" si="144">+E220</f>
        <v>3.5</v>
      </c>
      <c r="G220" s="280">
        <f t="shared" si="144"/>
        <v>3.5</v>
      </c>
      <c r="H220" s="280">
        <f t="shared" si="144"/>
        <v>3.5</v>
      </c>
      <c r="I220" s="280">
        <f t="shared" si="144"/>
        <v>3.5</v>
      </c>
      <c r="J220" s="280">
        <f t="shared" si="144"/>
        <v>3.5</v>
      </c>
      <c r="K220" s="280">
        <f t="shared" si="144"/>
        <v>3.5</v>
      </c>
      <c r="L220" s="280">
        <f t="shared" si="144"/>
        <v>3.5</v>
      </c>
      <c r="M220" s="280">
        <f t="shared" si="144"/>
        <v>3.5</v>
      </c>
      <c r="N220" s="280">
        <f t="shared" si="144"/>
        <v>3.5</v>
      </c>
      <c r="O220" s="280">
        <f t="shared" si="144"/>
        <v>3.5</v>
      </c>
      <c r="P220" s="280">
        <f t="shared" si="144"/>
        <v>3.5</v>
      </c>
    </row>
    <row r="221" spans="1:16" x14ac:dyDescent="0.2">
      <c r="A221" s="371" t="str">
        <f t="shared" si="138"/>
        <v>Средно количество отпадъци от вдигнат контейнер</v>
      </c>
      <c r="B221" s="260"/>
      <c r="C221" s="260"/>
      <c r="D221" s="358" t="s">
        <v>43</v>
      </c>
      <c r="E221" s="281">
        <f t="shared" ref="E221:P221" si="145">+E202</f>
        <v>0.12218309859154929</v>
      </c>
      <c r="F221" s="281">
        <f t="shared" si="145"/>
        <v>0.12218309859154929</v>
      </c>
      <c r="G221" s="281">
        <f t="shared" si="145"/>
        <v>0.12218309859154929</v>
      </c>
      <c r="H221" s="281">
        <f t="shared" si="145"/>
        <v>0.12218309859154929</v>
      </c>
      <c r="I221" s="281">
        <f t="shared" si="145"/>
        <v>0.12218309859154929</v>
      </c>
      <c r="J221" s="281">
        <f t="shared" si="145"/>
        <v>0.12218309859154929</v>
      </c>
      <c r="K221" s="281">
        <f t="shared" si="145"/>
        <v>0.12218309859154929</v>
      </c>
      <c r="L221" s="281">
        <f t="shared" si="145"/>
        <v>0.12218309859154929</v>
      </c>
      <c r="M221" s="281">
        <f t="shared" si="145"/>
        <v>0.12218309859154929</v>
      </c>
      <c r="N221" s="281">
        <f t="shared" si="145"/>
        <v>0.12218309859154929</v>
      </c>
      <c r="O221" s="281">
        <f t="shared" si="145"/>
        <v>0.12218309859154929</v>
      </c>
      <c r="P221" s="281">
        <f t="shared" si="145"/>
        <v>0.12218309859154929</v>
      </c>
    </row>
    <row r="222" spans="1:16" x14ac:dyDescent="0.2">
      <c r="A222" s="371" t="str">
        <f t="shared" si="138"/>
        <v>Товаримост на час</v>
      </c>
      <c r="B222" s="260"/>
      <c r="C222" s="260"/>
      <c r="D222" s="358" t="s">
        <v>70</v>
      </c>
      <c r="E222" s="280">
        <f t="shared" ref="E222:P222" si="146">+E221*60/E220</f>
        <v>2.094567404426559</v>
      </c>
      <c r="F222" s="280">
        <f t="shared" si="146"/>
        <v>2.094567404426559</v>
      </c>
      <c r="G222" s="280">
        <f t="shared" si="146"/>
        <v>2.094567404426559</v>
      </c>
      <c r="H222" s="280">
        <f t="shared" si="146"/>
        <v>2.094567404426559</v>
      </c>
      <c r="I222" s="280">
        <f t="shared" si="146"/>
        <v>2.094567404426559</v>
      </c>
      <c r="J222" s="280">
        <f t="shared" si="146"/>
        <v>2.094567404426559</v>
      </c>
      <c r="K222" s="280">
        <f t="shared" si="146"/>
        <v>2.094567404426559</v>
      </c>
      <c r="L222" s="280">
        <f t="shared" si="146"/>
        <v>2.094567404426559</v>
      </c>
      <c r="M222" s="280">
        <f t="shared" si="146"/>
        <v>2.094567404426559</v>
      </c>
      <c r="N222" s="280">
        <f t="shared" si="146"/>
        <v>2.094567404426559</v>
      </c>
      <c r="O222" s="280">
        <f t="shared" si="146"/>
        <v>2.094567404426559</v>
      </c>
      <c r="P222" s="280">
        <f t="shared" si="146"/>
        <v>2.094567404426559</v>
      </c>
    </row>
    <row r="223" spans="1:16" x14ac:dyDescent="0.2">
      <c r="A223" s="371" t="str">
        <f t="shared" si="138"/>
        <v>Време за натоварване напълно на автомобила</v>
      </c>
      <c r="B223" s="260"/>
      <c r="C223" s="260"/>
      <c r="D223" s="358" t="s">
        <v>30</v>
      </c>
      <c r="E223" s="280">
        <f t="shared" ref="E223:P223" si="147">IF(E222=0,0,+E211/E222)</f>
        <v>2.3202881844380405</v>
      </c>
      <c r="F223" s="280">
        <f t="shared" si="147"/>
        <v>2.3202881844380405</v>
      </c>
      <c r="G223" s="280">
        <f t="shared" si="147"/>
        <v>2.3202881844380405</v>
      </c>
      <c r="H223" s="280">
        <f t="shared" si="147"/>
        <v>2.3202881844380405</v>
      </c>
      <c r="I223" s="280">
        <f t="shared" si="147"/>
        <v>2.3202881844380405</v>
      </c>
      <c r="J223" s="280">
        <f t="shared" si="147"/>
        <v>2.3202881844380405</v>
      </c>
      <c r="K223" s="280">
        <f t="shared" si="147"/>
        <v>2.3202881844380405</v>
      </c>
      <c r="L223" s="280">
        <f t="shared" si="147"/>
        <v>2.3202881844380405</v>
      </c>
      <c r="M223" s="280">
        <f t="shared" si="147"/>
        <v>2.3202881844380405</v>
      </c>
      <c r="N223" s="280">
        <f t="shared" si="147"/>
        <v>2.3202881844380405</v>
      </c>
      <c r="O223" s="280">
        <f t="shared" si="147"/>
        <v>2.3202881844380405</v>
      </c>
      <c r="P223" s="280">
        <f t="shared" si="147"/>
        <v>2.3202881844380405</v>
      </c>
    </row>
    <row r="224" spans="1:16" x14ac:dyDescent="0.2">
      <c r="A224" s="371" t="str">
        <f t="shared" si="138"/>
        <v>Време за натоварване напълно за първия курс</v>
      </c>
      <c r="B224" s="260"/>
      <c r="C224" s="260"/>
      <c r="D224" s="358" t="s">
        <v>30</v>
      </c>
      <c r="E224" s="280">
        <f t="shared" ref="E224:P224" si="148">IF(E221=0,0,IF(E211/E221*E220/60&gt;E180-E219,E180-E219,E211/E221*E220/60))</f>
        <v>2.3202881844380401</v>
      </c>
      <c r="F224" s="280">
        <f t="shared" si="148"/>
        <v>2.3202881844380401</v>
      </c>
      <c r="G224" s="280">
        <f t="shared" si="148"/>
        <v>2.3202881844380401</v>
      </c>
      <c r="H224" s="280">
        <f t="shared" si="148"/>
        <v>2.3202881844380401</v>
      </c>
      <c r="I224" s="280">
        <f t="shared" si="148"/>
        <v>2.3202881844380401</v>
      </c>
      <c r="J224" s="280">
        <f t="shared" si="148"/>
        <v>2.3202881844380401</v>
      </c>
      <c r="K224" s="280">
        <f t="shared" si="148"/>
        <v>2.3202881844380401</v>
      </c>
      <c r="L224" s="280">
        <f t="shared" si="148"/>
        <v>2.3202881844380401</v>
      </c>
      <c r="M224" s="280">
        <f t="shared" si="148"/>
        <v>2.3202881844380401</v>
      </c>
      <c r="N224" s="280">
        <f t="shared" si="148"/>
        <v>2.3202881844380401</v>
      </c>
      <c r="O224" s="280">
        <f t="shared" si="148"/>
        <v>2.3202881844380401</v>
      </c>
      <c r="P224" s="280">
        <f t="shared" si="148"/>
        <v>2.3202881844380401</v>
      </c>
    </row>
    <row r="225" spans="1:16" outlineLevel="1" x14ac:dyDescent="0.2">
      <c r="A225" s="371" t="str">
        <f t="shared" si="138"/>
        <v>Общо време за първия курс</v>
      </c>
      <c r="B225" s="260"/>
      <c r="C225" s="260"/>
      <c r="D225" s="358" t="s">
        <v>30</v>
      </c>
      <c r="E225" s="280">
        <f t="shared" ref="E225:P225" si="149">+E224+E219</f>
        <v>4.1536215177713736</v>
      </c>
      <c r="F225" s="280">
        <f t="shared" si="149"/>
        <v>4.1536215177713736</v>
      </c>
      <c r="G225" s="280">
        <f t="shared" si="149"/>
        <v>4.1536215177713736</v>
      </c>
      <c r="H225" s="280">
        <f t="shared" si="149"/>
        <v>4.1536215177713736</v>
      </c>
      <c r="I225" s="280">
        <f t="shared" si="149"/>
        <v>4.1536215177713736</v>
      </c>
      <c r="J225" s="280">
        <f t="shared" si="149"/>
        <v>4.1536215177713736</v>
      </c>
      <c r="K225" s="280">
        <f t="shared" si="149"/>
        <v>4.1536215177713736</v>
      </c>
      <c r="L225" s="280">
        <f t="shared" si="149"/>
        <v>4.1536215177713736</v>
      </c>
      <c r="M225" s="280">
        <f t="shared" si="149"/>
        <v>4.1536215177713736</v>
      </c>
      <c r="N225" s="280">
        <f t="shared" si="149"/>
        <v>4.1536215177713736</v>
      </c>
      <c r="O225" s="280">
        <f t="shared" si="149"/>
        <v>4.1536215177713736</v>
      </c>
      <c r="P225" s="280">
        <f t="shared" si="149"/>
        <v>4.1536215177713736</v>
      </c>
    </row>
    <row r="226" spans="1:16" x14ac:dyDescent="0.2">
      <c r="A226" s="371" t="str">
        <f t="shared" si="138"/>
        <v>Буферно време</v>
      </c>
      <c r="B226" s="260">
        <f>B150</f>
        <v>0.5</v>
      </c>
      <c r="C226" s="260" t="s">
        <v>30</v>
      </c>
      <c r="D226" s="358" t="s">
        <v>30</v>
      </c>
      <c r="E226" s="279">
        <f>B226</f>
        <v>0.5</v>
      </c>
      <c r="F226" s="279">
        <f t="shared" ref="F226:P226" si="150">+E226</f>
        <v>0.5</v>
      </c>
      <c r="G226" s="279">
        <f t="shared" si="150"/>
        <v>0.5</v>
      </c>
      <c r="H226" s="279">
        <f t="shared" si="150"/>
        <v>0.5</v>
      </c>
      <c r="I226" s="279">
        <f t="shared" si="150"/>
        <v>0.5</v>
      </c>
      <c r="J226" s="279">
        <f t="shared" si="150"/>
        <v>0.5</v>
      </c>
      <c r="K226" s="279">
        <f t="shared" si="150"/>
        <v>0.5</v>
      </c>
      <c r="L226" s="279">
        <f t="shared" si="150"/>
        <v>0.5</v>
      </c>
      <c r="M226" s="279">
        <f t="shared" si="150"/>
        <v>0.5</v>
      </c>
      <c r="N226" s="279">
        <f t="shared" si="150"/>
        <v>0.5</v>
      </c>
      <c r="O226" s="279">
        <f t="shared" si="150"/>
        <v>0.5</v>
      </c>
      <c r="P226" s="279">
        <f t="shared" si="150"/>
        <v>0.5</v>
      </c>
    </row>
    <row r="227" spans="1:16" x14ac:dyDescent="0.2">
      <c r="A227" s="371" t="str">
        <f t="shared" si="138"/>
        <v>Остатъчно време за втори курс</v>
      </c>
      <c r="B227" s="260"/>
      <c r="C227" s="260"/>
      <c r="D227" s="358" t="s">
        <v>30</v>
      </c>
      <c r="E227" s="282">
        <f t="shared" ref="E227:P227" si="151">+E180*E181-E225</f>
        <v>3.8463784822286264</v>
      </c>
      <c r="F227" s="282">
        <f t="shared" si="151"/>
        <v>3.8463784822286264</v>
      </c>
      <c r="G227" s="282">
        <f t="shared" si="151"/>
        <v>3.8463784822286264</v>
      </c>
      <c r="H227" s="282">
        <f t="shared" si="151"/>
        <v>3.8463784822286264</v>
      </c>
      <c r="I227" s="282">
        <f t="shared" si="151"/>
        <v>3.8463784822286264</v>
      </c>
      <c r="J227" s="282">
        <f t="shared" si="151"/>
        <v>3.8463784822286264</v>
      </c>
      <c r="K227" s="282">
        <f t="shared" si="151"/>
        <v>3.8463784822286264</v>
      </c>
      <c r="L227" s="282">
        <f t="shared" si="151"/>
        <v>3.8463784822286264</v>
      </c>
      <c r="M227" s="282">
        <f t="shared" si="151"/>
        <v>3.8463784822286264</v>
      </c>
      <c r="N227" s="282">
        <f t="shared" si="151"/>
        <v>3.8463784822286264</v>
      </c>
      <c r="O227" s="282">
        <f t="shared" si="151"/>
        <v>3.8463784822286264</v>
      </c>
      <c r="P227" s="282">
        <f t="shared" si="151"/>
        <v>3.8463784822286264</v>
      </c>
    </row>
    <row r="228" spans="1:16" x14ac:dyDescent="0.2">
      <c r="A228" s="371" t="str">
        <f t="shared" si="138"/>
        <v>Време за натоварване ако остава такова</v>
      </c>
      <c r="B228" s="260"/>
      <c r="C228" s="260"/>
      <c r="D228" s="358" t="s">
        <v>30</v>
      </c>
      <c r="E228" s="282">
        <f t="shared" ref="E228:P228" si="152">+IF(E227-E219&gt;E226,IF(E227-E219&gt;E224,E224,E227-E219),0)</f>
        <v>2.0130451488952934</v>
      </c>
      <c r="F228" s="282">
        <f t="shared" si="152"/>
        <v>2.0130451488952934</v>
      </c>
      <c r="G228" s="282">
        <f t="shared" si="152"/>
        <v>2.0130451488952934</v>
      </c>
      <c r="H228" s="282">
        <f t="shared" si="152"/>
        <v>2.0130451488952934</v>
      </c>
      <c r="I228" s="282">
        <f t="shared" si="152"/>
        <v>2.0130451488952934</v>
      </c>
      <c r="J228" s="282">
        <f t="shared" si="152"/>
        <v>2.0130451488952934</v>
      </c>
      <c r="K228" s="282">
        <f t="shared" si="152"/>
        <v>2.0130451488952934</v>
      </c>
      <c r="L228" s="282">
        <f t="shared" si="152"/>
        <v>2.0130451488952934</v>
      </c>
      <c r="M228" s="282">
        <f t="shared" si="152"/>
        <v>2.0130451488952934</v>
      </c>
      <c r="N228" s="282">
        <f t="shared" si="152"/>
        <v>2.0130451488952934</v>
      </c>
      <c r="O228" s="282">
        <f t="shared" si="152"/>
        <v>2.0130451488952934</v>
      </c>
      <c r="P228" s="282">
        <f t="shared" si="152"/>
        <v>2.0130451488952934</v>
      </c>
    </row>
    <row r="229" spans="1:16" x14ac:dyDescent="0.2">
      <c r="A229" s="371" t="str">
        <f t="shared" si="138"/>
        <v>Остатъчно време за трети курс</v>
      </c>
      <c r="B229" s="260"/>
      <c r="C229" s="260"/>
      <c r="D229" s="358" t="s">
        <v>30</v>
      </c>
      <c r="E229" s="282">
        <f t="shared" ref="E229:P229" si="153">+IF(E228&gt;0,E227-E228-E219,0)</f>
        <v>-2.2204460492503131E-16</v>
      </c>
      <c r="F229" s="282">
        <f t="shared" si="153"/>
        <v>-2.2204460492503131E-16</v>
      </c>
      <c r="G229" s="282">
        <f t="shared" si="153"/>
        <v>-2.2204460492503131E-16</v>
      </c>
      <c r="H229" s="282">
        <f t="shared" si="153"/>
        <v>-2.2204460492503131E-16</v>
      </c>
      <c r="I229" s="282">
        <f t="shared" si="153"/>
        <v>-2.2204460492503131E-16</v>
      </c>
      <c r="J229" s="282">
        <f t="shared" si="153"/>
        <v>-2.2204460492503131E-16</v>
      </c>
      <c r="K229" s="282">
        <f t="shared" si="153"/>
        <v>-2.2204460492503131E-16</v>
      </c>
      <c r="L229" s="282">
        <f t="shared" si="153"/>
        <v>-2.2204460492503131E-16</v>
      </c>
      <c r="M229" s="282">
        <f t="shared" si="153"/>
        <v>-2.2204460492503131E-16</v>
      </c>
      <c r="N229" s="282">
        <f t="shared" si="153"/>
        <v>-2.2204460492503131E-16</v>
      </c>
      <c r="O229" s="282">
        <f t="shared" si="153"/>
        <v>-2.2204460492503131E-16</v>
      </c>
      <c r="P229" s="282">
        <f t="shared" si="153"/>
        <v>-2.2204460492503131E-16</v>
      </c>
    </row>
    <row r="230" spans="1:16" x14ac:dyDescent="0.2">
      <c r="A230" s="371" t="str">
        <f t="shared" si="138"/>
        <v>Време за натоварване ако остава такова</v>
      </c>
      <c r="B230" s="260"/>
      <c r="C230" s="260"/>
      <c r="D230" s="358" t="s">
        <v>30</v>
      </c>
      <c r="E230" s="282">
        <f t="shared" ref="E230:P230" si="154">+IF(E229-E219&gt;E226,IF(E229-E219&gt;E224,E224,E229-E219),0)</f>
        <v>0</v>
      </c>
      <c r="F230" s="282">
        <f t="shared" si="154"/>
        <v>0</v>
      </c>
      <c r="G230" s="282">
        <f t="shared" si="154"/>
        <v>0</v>
      </c>
      <c r="H230" s="282">
        <f t="shared" si="154"/>
        <v>0</v>
      </c>
      <c r="I230" s="282">
        <f t="shared" si="154"/>
        <v>0</v>
      </c>
      <c r="J230" s="282">
        <f t="shared" si="154"/>
        <v>0</v>
      </c>
      <c r="K230" s="282">
        <f t="shared" si="154"/>
        <v>0</v>
      </c>
      <c r="L230" s="282">
        <f t="shared" si="154"/>
        <v>0</v>
      </c>
      <c r="M230" s="282">
        <f t="shared" si="154"/>
        <v>0</v>
      </c>
      <c r="N230" s="282">
        <f t="shared" si="154"/>
        <v>0</v>
      </c>
      <c r="O230" s="282">
        <f t="shared" si="154"/>
        <v>0</v>
      </c>
      <c r="P230" s="282">
        <f t="shared" si="154"/>
        <v>0</v>
      </c>
    </row>
    <row r="231" spans="1:16" x14ac:dyDescent="0.2">
      <c r="A231" s="371" t="str">
        <f t="shared" si="138"/>
        <v>Остатъчно време за четвърти курс</v>
      </c>
      <c r="B231" s="260"/>
      <c r="C231" s="260"/>
      <c r="D231" s="358" t="s">
        <v>30</v>
      </c>
      <c r="E231" s="282">
        <f t="shared" ref="E231:P231" si="155">+IF(E230&gt;0,E229-E230-E219,0)</f>
        <v>0</v>
      </c>
      <c r="F231" s="282">
        <f t="shared" si="155"/>
        <v>0</v>
      </c>
      <c r="G231" s="282">
        <f t="shared" si="155"/>
        <v>0</v>
      </c>
      <c r="H231" s="282">
        <f t="shared" si="155"/>
        <v>0</v>
      </c>
      <c r="I231" s="282">
        <f t="shared" si="155"/>
        <v>0</v>
      </c>
      <c r="J231" s="282">
        <f t="shared" si="155"/>
        <v>0</v>
      </c>
      <c r="K231" s="282">
        <f t="shared" si="155"/>
        <v>0</v>
      </c>
      <c r="L231" s="282">
        <f t="shared" si="155"/>
        <v>0</v>
      </c>
      <c r="M231" s="282">
        <f t="shared" si="155"/>
        <v>0</v>
      </c>
      <c r="N231" s="282">
        <f t="shared" si="155"/>
        <v>0</v>
      </c>
      <c r="O231" s="282">
        <f t="shared" si="155"/>
        <v>0</v>
      </c>
      <c r="P231" s="282">
        <f t="shared" si="155"/>
        <v>0</v>
      </c>
    </row>
    <row r="232" spans="1:16" x14ac:dyDescent="0.2">
      <c r="A232" s="371" t="str">
        <f t="shared" si="138"/>
        <v>Време за натоварване ако остава такова</v>
      </c>
      <c r="B232" s="260"/>
      <c r="C232" s="260"/>
      <c r="D232" s="358" t="s">
        <v>30</v>
      </c>
      <c r="E232" s="282">
        <f t="shared" ref="E232:P232" si="156">+IF(E231-E219&gt;E226,IF(E231-E219&gt;E224,E224,E231-E219),0)</f>
        <v>0</v>
      </c>
      <c r="F232" s="282">
        <f t="shared" si="156"/>
        <v>0</v>
      </c>
      <c r="G232" s="282">
        <f t="shared" si="156"/>
        <v>0</v>
      </c>
      <c r="H232" s="282">
        <f t="shared" si="156"/>
        <v>0</v>
      </c>
      <c r="I232" s="282">
        <f t="shared" si="156"/>
        <v>0</v>
      </c>
      <c r="J232" s="282">
        <f t="shared" si="156"/>
        <v>0</v>
      </c>
      <c r="K232" s="282">
        <f t="shared" si="156"/>
        <v>0</v>
      </c>
      <c r="L232" s="282">
        <f t="shared" si="156"/>
        <v>0</v>
      </c>
      <c r="M232" s="282">
        <f t="shared" si="156"/>
        <v>0</v>
      </c>
      <c r="N232" s="282">
        <f t="shared" si="156"/>
        <v>0</v>
      </c>
      <c r="O232" s="282">
        <f t="shared" si="156"/>
        <v>0</v>
      </c>
      <c r="P232" s="282">
        <f t="shared" si="156"/>
        <v>0</v>
      </c>
    </row>
    <row r="233" spans="1:16" x14ac:dyDescent="0.2">
      <c r="A233" s="371" t="str">
        <f t="shared" si="138"/>
        <v>Остатъчно време за пети курс</v>
      </c>
      <c r="B233" s="260"/>
      <c r="C233" s="260"/>
      <c r="D233" s="358" t="s">
        <v>30</v>
      </c>
      <c r="E233" s="282">
        <f t="shared" ref="E233:P233" si="157">+IF(E232&gt;0,E231-E232-E219,0)</f>
        <v>0</v>
      </c>
      <c r="F233" s="282">
        <f t="shared" si="157"/>
        <v>0</v>
      </c>
      <c r="G233" s="282">
        <f t="shared" si="157"/>
        <v>0</v>
      </c>
      <c r="H233" s="282">
        <f t="shared" si="157"/>
        <v>0</v>
      </c>
      <c r="I233" s="282">
        <f t="shared" si="157"/>
        <v>0</v>
      </c>
      <c r="J233" s="282">
        <f t="shared" si="157"/>
        <v>0</v>
      </c>
      <c r="K233" s="282">
        <f t="shared" si="157"/>
        <v>0</v>
      </c>
      <c r="L233" s="282">
        <f t="shared" si="157"/>
        <v>0</v>
      </c>
      <c r="M233" s="282">
        <f t="shared" si="157"/>
        <v>0</v>
      </c>
      <c r="N233" s="282">
        <f t="shared" si="157"/>
        <v>0</v>
      </c>
      <c r="O233" s="282">
        <f t="shared" si="157"/>
        <v>0</v>
      </c>
      <c r="P233" s="282">
        <f t="shared" si="157"/>
        <v>0</v>
      </c>
    </row>
    <row r="234" spans="1:16" x14ac:dyDescent="0.2">
      <c r="A234" s="371" t="str">
        <f t="shared" si="138"/>
        <v>Време за натоварване ако остава такова</v>
      </c>
      <c r="B234" s="260"/>
      <c r="C234" s="260"/>
      <c r="D234" s="358" t="s">
        <v>30</v>
      </c>
      <c r="E234" s="282">
        <f t="shared" ref="E234:P234" si="158">+IF(E233-E219&gt;E226,IF(E233-E219&gt;E224,E224,E233-E219),0)</f>
        <v>0</v>
      </c>
      <c r="F234" s="282">
        <f t="shared" si="158"/>
        <v>0</v>
      </c>
      <c r="G234" s="282">
        <f t="shared" si="158"/>
        <v>0</v>
      </c>
      <c r="H234" s="282">
        <f t="shared" si="158"/>
        <v>0</v>
      </c>
      <c r="I234" s="282">
        <f t="shared" si="158"/>
        <v>0</v>
      </c>
      <c r="J234" s="282">
        <f t="shared" si="158"/>
        <v>0</v>
      </c>
      <c r="K234" s="282">
        <f t="shared" si="158"/>
        <v>0</v>
      </c>
      <c r="L234" s="282">
        <f t="shared" si="158"/>
        <v>0</v>
      </c>
      <c r="M234" s="282">
        <f t="shared" si="158"/>
        <v>0</v>
      </c>
      <c r="N234" s="282">
        <f t="shared" si="158"/>
        <v>0</v>
      </c>
      <c r="O234" s="282">
        <f t="shared" si="158"/>
        <v>0</v>
      </c>
      <c r="P234" s="282">
        <f t="shared" si="158"/>
        <v>0</v>
      </c>
    </row>
    <row r="235" spans="1:16" x14ac:dyDescent="0.2">
      <c r="A235" s="260"/>
      <c r="B235" s="260"/>
      <c r="C235" s="260"/>
      <c r="D235" s="358"/>
      <c r="E235" s="280"/>
      <c r="F235" s="280"/>
      <c r="G235" s="280"/>
      <c r="H235" s="280"/>
      <c r="I235" s="280"/>
      <c r="J235" s="280"/>
      <c r="K235" s="280"/>
      <c r="L235" s="280"/>
      <c r="M235" s="280"/>
      <c r="N235" s="280"/>
      <c r="O235" s="280"/>
      <c r="P235" s="280"/>
    </row>
    <row r="236" spans="1:16" x14ac:dyDescent="0.2">
      <c r="A236" s="371" t="str">
        <f t="shared" si="138"/>
        <v>Среден брой курсове дневно</v>
      </c>
      <c r="B236" s="260"/>
      <c r="C236" s="260"/>
      <c r="D236" s="358" t="s">
        <v>81</v>
      </c>
      <c r="E236" s="280">
        <f t="shared" ref="E236:P236" si="159">IF(E223=0,0,+(E234+E232+E230+E228+E224)/E223)</f>
        <v>1.86758410545578</v>
      </c>
      <c r="F236" s="280">
        <f t="shared" si="159"/>
        <v>1.86758410545578</v>
      </c>
      <c r="G236" s="280">
        <f t="shared" si="159"/>
        <v>1.86758410545578</v>
      </c>
      <c r="H236" s="280">
        <f t="shared" si="159"/>
        <v>1.86758410545578</v>
      </c>
      <c r="I236" s="280">
        <f t="shared" si="159"/>
        <v>1.86758410545578</v>
      </c>
      <c r="J236" s="280">
        <f t="shared" si="159"/>
        <v>1.86758410545578</v>
      </c>
      <c r="K236" s="280">
        <f t="shared" si="159"/>
        <v>1.86758410545578</v>
      </c>
      <c r="L236" s="280">
        <f t="shared" si="159"/>
        <v>1.86758410545578</v>
      </c>
      <c r="M236" s="280">
        <f t="shared" si="159"/>
        <v>1.86758410545578</v>
      </c>
      <c r="N236" s="280">
        <f t="shared" si="159"/>
        <v>1.86758410545578</v>
      </c>
      <c r="O236" s="280">
        <f t="shared" si="159"/>
        <v>1.86758410545578</v>
      </c>
      <c r="P236" s="280">
        <f t="shared" si="159"/>
        <v>1.86758410545578</v>
      </c>
    </row>
    <row r="237" spans="1:16" x14ac:dyDescent="0.2">
      <c r="A237" s="371" t="str">
        <f t="shared" si="138"/>
        <v>Средно количество събрани отпадъци дневно</v>
      </c>
      <c r="B237" s="260"/>
      <c r="C237" s="260"/>
      <c r="D237" s="358" t="s">
        <v>82</v>
      </c>
      <c r="E237" s="280">
        <f t="shared" ref="E237:P237" si="160">+E236*E211</f>
        <v>9.076458752515089</v>
      </c>
      <c r="F237" s="280">
        <f t="shared" si="160"/>
        <v>9.076458752515089</v>
      </c>
      <c r="G237" s="280">
        <f t="shared" si="160"/>
        <v>9.076458752515089</v>
      </c>
      <c r="H237" s="280">
        <f t="shared" si="160"/>
        <v>9.076458752515089</v>
      </c>
      <c r="I237" s="280">
        <f t="shared" si="160"/>
        <v>9.076458752515089</v>
      </c>
      <c r="J237" s="280">
        <f t="shared" si="160"/>
        <v>9.076458752515089</v>
      </c>
      <c r="K237" s="280">
        <f t="shared" si="160"/>
        <v>9.076458752515089</v>
      </c>
      <c r="L237" s="280">
        <f t="shared" si="160"/>
        <v>9.076458752515089</v>
      </c>
      <c r="M237" s="280">
        <f t="shared" si="160"/>
        <v>9.076458752515089</v>
      </c>
      <c r="N237" s="280">
        <f t="shared" si="160"/>
        <v>9.076458752515089</v>
      </c>
      <c r="O237" s="280">
        <f t="shared" si="160"/>
        <v>9.076458752515089</v>
      </c>
      <c r="P237" s="280">
        <f t="shared" si="160"/>
        <v>9.076458752515089</v>
      </c>
    </row>
    <row r="238" spans="1:16" x14ac:dyDescent="0.2">
      <c r="A238" s="260"/>
      <c r="B238" s="260"/>
      <c r="C238" s="260"/>
      <c r="D238" s="358"/>
      <c r="E238" s="270"/>
      <c r="F238" s="270"/>
      <c r="G238" s="270"/>
      <c r="H238" s="270"/>
      <c r="I238" s="270"/>
      <c r="J238" s="270"/>
      <c r="K238" s="270"/>
      <c r="L238" s="270"/>
      <c r="M238" s="270"/>
      <c r="N238" s="270"/>
      <c r="O238" s="270"/>
      <c r="P238" s="270"/>
    </row>
    <row r="239" spans="1:16" ht="13.5" customHeight="1" x14ac:dyDescent="0.2">
      <c r="A239" s="262" t="s">
        <v>52</v>
      </c>
      <c r="B239" s="262"/>
      <c r="C239" s="262"/>
      <c r="D239" s="358"/>
      <c r="E239" s="265"/>
      <c r="F239" s="265"/>
      <c r="G239" s="265"/>
      <c r="H239" s="265"/>
      <c r="I239" s="265"/>
      <c r="J239" s="265"/>
      <c r="K239" s="265"/>
      <c r="L239" s="261"/>
      <c r="M239" s="261"/>
      <c r="N239" s="261"/>
      <c r="O239" s="261"/>
      <c r="P239" s="260"/>
    </row>
    <row r="240" spans="1:16" x14ac:dyDescent="0.2">
      <c r="A240" s="371" t="str">
        <f>A89</f>
        <v>Необходими автомобили за събиране, включително резерви</v>
      </c>
      <c r="B240" s="260"/>
      <c r="C240" s="260"/>
      <c r="D240" s="358" t="s">
        <v>84</v>
      </c>
      <c r="E240" s="279">
        <f t="shared" ref="E240:P240" si="161">E241/E212</f>
        <v>0.10379394361294814</v>
      </c>
      <c r="F240" s="279">
        <f t="shared" si="161"/>
        <v>0.10379394361294814</v>
      </c>
      <c r="G240" s="279">
        <f t="shared" si="161"/>
        <v>0.10379394361294814</v>
      </c>
      <c r="H240" s="279">
        <f t="shared" si="161"/>
        <v>0.10379394361294814</v>
      </c>
      <c r="I240" s="279">
        <f t="shared" si="161"/>
        <v>0.10379394361294814</v>
      </c>
      <c r="J240" s="279">
        <f t="shared" si="161"/>
        <v>0.10379394361294814</v>
      </c>
      <c r="K240" s="279">
        <f t="shared" si="161"/>
        <v>0.10379394361294814</v>
      </c>
      <c r="L240" s="279">
        <f t="shared" si="161"/>
        <v>0.10379394361294814</v>
      </c>
      <c r="M240" s="279">
        <f t="shared" si="161"/>
        <v>0.10379394361294814</v>
      </c>
      <c r="N240" s="279">
        <f t="shared" si="161"/>
        <v>0.10379394361294814</v>
      </c>
      <c r="O240" s="279">
        <f t="shared" si="161"/>
        <v>0.10379394361294814</v>
      </c>
      <c r="P240" s="279">
        <f t="shared" si="161"/>
        <v>0.10379394361294814</v>
      </c>
    </row>
    <row r="241" spans="1:16" x14ac:dyDescent="0.2">
      <c r="A241" s="371" t="str">
        <f>A90</f>
        <v>Автомобили за събиране в действие</v>
      </c>
      <c r="B241" s="262"/>
      <c r="C241" s="262"/>
      <c r="D241" s="358" t="s">
        <v>84</v>
      </c>
      <c r="E241" s="279">
        <f t="shared" ref="E241:P241" si="162">IF(E237=0,0,E172/E189/E237)</f>
        <v>8.8224852071005916E-2</v>
      </c>
      <c r="F241" s="279">
        <f t="shared" si="162"/>
        <v>8.8224852071005916E-2</v>
      </c>
      <c r="G241" s="279">
        <f t="shared" si="162"/>
        <v>8.8224852071005916E-2</v>
      </c>
      <c r="H241" s="279">
        <f t="shared" si="162"/>
        <v>8.8224852071005916E-2</v>
      </c>
      <c r="I241" s="279">
        <f t="shared" si="162"/>
        <v>8.8224852071005916E-2</v>
      </c>
      <c r="J241" s="279">
        <f t="shared" si="162"/>
        <v>8.8224852071005916E-2</v>
      </c>
      <c r="K241" s="279">
        <f t="shared" si="162"/>
        <v>8.8224852071005916E-2</v>
      </c>
      <c r="L241" s="279">
        <f t="shared" si="162"/>
        <v>8.8224852071005916E-2</v>
      </c>
      <c r="M241" s="279">
        <f t="shared" si="162"/>
        <v>8.8224852071005916E-2</v>
      </c>
      <c r="N241" s="279">
        <f t="shared" si="162"/>
        <v>8.8224852071005916E-2</v>
      </c>
      <c r="O241" s="279">
        <f t="shared" si="162"/>
        <v>8.8224852071005916E-2</v>
      </c>
      <c r="P241" s="279">
        <f t="shared" si="162"/>
        <v>8.8224852071005916E-2</v>
      </c>
    </row>
    <row r="242" spans="1:16" x14ac:dyDescent="0.2">
      <c r="A242" s="371" t="str">
        <f>A91</f>
        <v>Необходим брой нови автомобили за събиране</v>
      </c>
      <c r="B242" s="283"/>
      <c r="C242" s="260"/>
      <c r="D242" s="358" t="s">
        <v>84</v>
      </c>
      <c r="E242" s="284">
        <f t="shared" ref="E242:P242" si="163">+ROUNDUP(E240,1)</f>
        <v>0.2</v>
      </c>
      <c r="F242" s="284">
        <f t="shared" si="163"/>
        <v>0.2</v>
      </c>
      <c r="G242" s="284">
        <f t="shared" si="163"/>
        <v>0.2</v>
      </c>
      <c r="H242" s="284">
        <f t="shared" si="163"/>
        <v>0.2</v>
      </c>
      <c r="I242" s="284">
        <f t="shared" si="163"/>
        <v>0.2</v>
      </c>
      <c r="J242" s="284">
        <f t="shared" si="163"/>
        <v>0.2</v>
      </c>
      <c r="K242" s="284">
        <f t="shared" si="163"/>
        <v>0.2</v>
      </c>
      <c r="L242" s="284">
        <f t="shared" si="163"/>
        <v>0.2</v>
      </c>
      <c r="M242" s="284">
        <f t="shared" si="163"/>
        <v>0.2</v>
      </c>
      <c r="N242" s="284">
        <f t="shared" si="163"/>
        <v>0.2</v>
      </c>
      <c r="O242" s="284">
        <f t="shared" si="163"/>
        <v>0.2</v>
      </c>
      <c r="P242" s="284">
        <f t="shared" si="163"/>
        <v>0.2</v>
      </c>
    </row>
    <row r="243" spans="1:16" x14ac:dyDescent="0.2">
      <c r="D243" s="359"/>
      <c r="E243" s="92"/>
      <c r="F243" s="92"/>
      <c r="G243" s="92"/>
      <c r="H243" s="92"/>
      <c r="I243" s="92"/>
      <c r="J243" s="92"/>
      <c r="K243" s="92"/>
      <c r="L243" s="93"/>
    </row>
    <row r="244" spans="1:16" ht="18.75" x14ac:dyDescent="0.3">
      <c r="A244" s="452" t="s">
        <v>217</v>
      </c>
      <c r="B244" s="452" t="str">
        <f>'Изходни данни'!A6</f>
        <v>големи населени места (повече от 3000 жители)</v>
      </c>
      <c r="C244" s="206"/>
      <c r="D244" s="360"/>
      <c r="E244" s="207"/>
      <c r="F244" s="207"/>
      <c r="G244" s="207"/>
      <c r="H244" s="207"/>
      <c r="I244" s="207"/>
      <c r="J244" s="207"/>
      <c r="K244" s="207"/>
      <c r="L244" s="206"/>
      <c r="M244" s="206"/>
      <c r="N244" s="206"/>
      <c r="O244" s="206"/>
      <c r="P244" s="206"/>
    </row>
    <row r="245" spans="1:16" x14ac:dyDescent="0.2">
      <c r="A245" s="210"/>
      <c r="B245" s="210"/>
      <c r="C245" s="210"/>
      <c r="D245" s="356"/>
      <c r="E245" s="211"/>
      <c r="F245" s="211"/>
      <c r="G245" s="211"/>
      <c r="H245" s="211"/>
      <c r="I245" s="211"/>
      <c r="J245" s="211"/>
      <c r="K245" s="211"/>
      <c r="L245" s="211"/>
      <c r="M245" s="211"/>
      <c r="N245" s="211"/>
      <c r="O245" s="211"/>
      <c r="P245" s="211"/>
    </row>
    <row r="246" spans="1:16" x14ac:dyDescent="0.2">
      <c r="A246" s="377" t="str">
        <f>A19</f>
        <v>Обслужвано население</v>
      </c>
      <c r="B246" s="210"/>
      <c r="C246" s="210"/>
      <c r="D246" s="361"/>
      <c r="E246" s="209">
        <f t="shared" ref="E246:P246" si="164">E8</f>
        <v>25000</v>
      </c>
      <c r="F246" s="209">
        <f t="shared" si="164"/>
        <v>25000</v>
      </c>
      <c r="G246" s="209">
        <f t="shared" si="164"/>
        <v>25000</v>
      </c>
      <c r="H246" s="209">
        <f t="shared" si="164"/>
        <v>25000</v>
      </c>
      <c r="I246" s="209">
        <f t="shared" si="164"/>
        <v>25000</v>
      </c>
      <c r="J246" s="209">
        <f t="shared" si="164"/>
        <v>25000</v>
      </c>
      <c r="K246" s="209">
        <f t="shared" si="164"/>
        <v>25000</v>
      </c>
      <c r="L246" s="209">
        <f t="shared" si="164"/>
        <v>25000</v>
      </c>
      <c r="M246" s="209">
        <f t="shared" si="164"/>
        <v>25000</v>
      </c>
      <c r="N246" s="209">
        <f t="shared" si="164"/>
        <v>25000</v>
      </c>
      <c r="O246" s="209">
        <f t="shared" si="164"/>
        <v>25000</v>
      </c>
      <c r="P246" s="209">
        <f t="shared" si="164"/>
        <v>25000</v>
      </c>
    </row>
    <row r="247" spans="1:16" x14ac:dyDescent="0.2">
      <c r="A247" s="210"/>
      <c r="B247" s="210"/>
      <c r="C247" s="210"/>
      <c r="D247" s="356"/>
      <c r="E247" s="211"/>
      <c r="F247" s="211"/>
      <c r="G247" s="211"/>
      <c r="H247" s="211"/>
      <c r="I247" s="211"/>
      <c r="J247" s="211"/>
      <c r="K247" s="211"/>
      <c r="L247" s="211"/>
      <c r="M247" s="211"/>
      <c r="N247" s="211"/>
      <c r="O247" s="211"/>
      <c r="P247" s="211"/>
    </row>
    <row r="248" spans="1:16" x14ac:dyDescent="0.2">
      <c r="A248" s="208" t="s">
        <v>21</v>
      </c>
      <c r="B248" s="208"/>
      <c r="C248" s="208"/>
      <c r="D248" s="356" t="s">
        <v>22</v>
      </c>
      <c r="E248" s="209">
        <f t="shared" ref="E248:P248" si="165">E249+E250+E251</f>
        <v>2557.8000000000002</v>
      </c>
      <c r="F248" s="209">
        <f t="shared" si="165"/>
        <v>2557.8000000000002</v>
      </c>
      <c r="G248" s="209">
        <f t="shared" si="165"/>
        <v>2557.8000000000002</v>
      </c>
      <c r="H248" s="209">
        <f t="shared" si="165"/>
        <v>2557.8000000000002</v>
      </c>
      <c r="I248" s="209">
        <f t="shared" si="165"/>
        <v>2557.8000000000002</v>
      </c>
      <c r="J248" s="209">
        <f t="shared" si="165"/>
        <v>2557.8000000000002</v>
      </c>
      <c r="K248" s="209">
        <f t="shared" si="165"/>
        <v>2557.8000000000002</v>
      </c>
      <c r="L248" s="209">
        <f t="shared" si="165"/>
        <v>2557.8000000000002</v>
      </c>
      <c r="M248" s="209">
        <f t="shared" si="165"/>
        <v>2557.8000000000002</v>
      </c>
      <c r="N248" s="209">
        <f t="shared" si="165"/>
        <v>2557.8000000000002</v>
      </c>
      <c r="O248" s="209">
        <f t="shared" si="165"/>
        <v>2557.8000000000002</v>
      </c>
      <c r="P248" s="209">
        <f t="shared" si="165"/>
        <v>2557.8000000000002</v>
      </c>
    </row>
    <row r="249" spans="1:16" x14ac:dyDescent="0.2">
      <c r="A249" s="375" t="str">
        <f>A22</f>
        <v>Отпадъци от домакинствата</v>
      </c>
      <c r="B249" s="210"/>
      <c r="C249" s="210"/>
      <c r="D249" s="356" t="s">
        <v>24</v>
      </c>
      <c r="E249" s="213">
        <f>'Масов баланс'!E344+'Масов баланс'!E346</f>
        <v>1776.2500000000002</v>
      </c>
      <c r="F249" s="213">
        <f>'Масов баланс'!F344+'Масов баланс'!F346</f>
        <v>1776.2500000000002</v>
      </c>
      <c r="G249" s="213">
        <f>'Масов баланс'!G344+'Масов баланс'!G346</f>
        <v>1776.2500000000002</v>
      </c>
      <c r="H249" s="213">
        <f>'Масов баланс'!H344+'Масов баланс'!H346</f>
        <v>1776.2500000000002</v>
      </c>
      <c r="I249" s="213">
        <f>'Масов баланс'!I344+'Масов баланс'!I346</f>
        <v>1776.2500000000002</v>
      </c>
      <c r="J249" s="213">
        <f>'Масов баланс'!J344+'Масов баланс'!J346</f>
        <v>1776.2500000000002</v>
      </c>
      <c r="K249" s="213">
        <f>'Масов баланс'!K344+'Масов баланс'!K346</f>
        <v>1776.2500000000002</v>
      </c>
      <c r="L249" s="213">
        <f>'Масов баланс'!L344+'Масов баланс'!L346</f>
        <v>1776.2500000000002</v>
      </c>
      <c r="M249" s="213">
        <f>'Масов баланс'!M344+'Масов баланс'!M346</f>
        <v>1776.2500000000002</v>
      </c>
      <c r="N249" s="213">
        <f>'Масов баланс'!N344+'Масов баланс'!N346</f>
        <v>1776.2500000000002</v>
      </c>
      <c r="O249" s="213">
        <f>'Масов баланс'!O344+'Масов баланс'!O346</f>
        <v>1776.2500000000002</v>
      </c>
      <c r="P249" s="213">
        <f>'Масов баланс'!P344+'Масов баланс'!P346</f>
        <v>1776.2500000000002</v>
      </c>
    </row>
    <row r="250" spans="1:16" x14ac:dyDescent="0.2">
      <c r="A250" s="375" t="str">
        <f t="shared" ref="A250:A257" si="166">A23</f>
        <v>Отпадъци от търговски обекти и юридически лица, събирани съвместно с отпадъците от домакинствата</v>
      </c>
      <c r="B250" s="210"/>
      <c r="C250" s="210"/>
      <c r="D250" s="356" t="s">
        <v>24</v>
      </c>
      <c r="E250" s="213">
        <f>'Масов баланс'!E345</f>
        <v>355.25</v>
      </c>
      <c r="F250" s="213">
        <f>'Масов баланс'!F345</f>
        <v>355.25</v>
      </c>
      <c r="G250" s="213">
        <f>'Масов баланс'!G345</f>
        <v>355.25</v>
      </c>
      <c r="H250" s="213">
        <f>'Масов баланс'!H345</f>
        <v>355.25</v>
      </c>
      <c r="I250" s="213">
        <f>'Масов баланс'!I345</f>
        <v>355.25</v>
      </c>
      <c r="J250" s="213">
        <f>'Масов баланс'!J345</f>
        <v>355.25</v>
      </c>
      <c r="K250" s="213">
        <f>'Масов баланс'!K345</f>
        <v>355.25</v>
      </c>
      <c r="L250" s="213">
        <f>'Масов баланс'!L345</f>
        <v>355.25</v>
      </c>
      <c r="M250" s="213">
        <f>'Масов баланс'!M345</f>
        <v>355.25</v>
      </c>
      <c r="N250" s="213">
        <f>'Масов баланс'!N345</f>
        <v>355.25</v>
      </c>
      <c r="O250" s="213">
        <f>'Масов баланс'!O345</f>
        <v>355.25</v>
      </c>
      <c r="P250" s="213">
        <f>'Масов баланс'!P345</f>
        <v>355.25</v>
      </c>
    </row>
    <row r="251" spans="1:16" x14ac:dyDescent="0.2">
      <c r="A251" s="375" t="str">
        <f t="shared" si="166"/>
        <v>Смесени отпадъци и други примеси изхвърлени в контейнерите за разделно събиране</v>
      </c>
      <c r="B251" s="210"/>
      <c r="C251" s="210"/>
      <c r="D251" s="356" t="s">
        <v>24</v>
      </c>
      <c r="E251" s="213">
        <f>'Масов баланс'!E348</f>
        <v>426.3</v>
      </c>
      <c r="F251" s="213">
        <f>'Масов баланс'!F348</f>
        <v>426.3</v>
      </c>
      <c r="G251" s="213">
        <f>'Масов баланс'!G348</f>
        <v>426.3</v>
      </c>
      <c r="H251" s="213">
        <f>'Масов баланс'!H348</f>
        <v>426.3</v>
      </c>
      <c r="I251" s="213">
        <f>'Масов баланс'!I348</f>
        <v>426.3</v>
      </c>
      <c r="J251" s="213">
        <f>'Масов баланс'!J348</f>
        <v>426.3</v>
      </c>
      <c r="K251" s="213">
        <f>'Масов баланс'!K348</f>
        <v>426.3</v>
      </c>
      <c r="L251" s="213">
        <f>'Масов баланс'!L348</f>
        <v>426.3</v>
      </c>
      <c r="M251" s="213">
        <f>'Масов баланс'!M348</f>
        <v>426.3</v>
      </c>
      <c r="N251" s="213">
        <f>'Масов баланс'!N348</f>
        <v>426.3</v>
      </c>
      <c r="O251" s="213">
        <f>'Масов баланс'!O348</f>
        <v>426.3</v>
      </c>
      <c r="P251" s="213">
        <f>'Масов баланс'!P348</f>
        <v>426.3</v>
      </c>
    </row>
    <row r="252" spans="1:16" x14ac:dyDescent="0.2">
      <c r="A252" s="375" t="str">
        <f t="shared" si="166"/>
        <v>% отпадъци от търговски обекти</v>
      </c>
      <c r="B252" s="210"/>
      <c r="C252" s="210"/>
      <c r="D252" s="356"/>
      <c r="E252" s="214">
        <f t="shared" ref="E252:P252" si="167">IF(E248&lt;1,0,E250/E248)</f>
        <v>0.13888888888888887</v>
      </c>
      <c r="F252" s="214">
        <f t="shared" si="167"/>
        <v>0.13888888888888887</v>
      </c>
      <c r="G252" s="214">
        <f t="shared" si="167"/>
        <v>0.13888888888888887</v>
      </c>
      <c r="H252" s="214">
        <f t="shared" si="167"/>
        <v>0.13888888888888887</v>
      </c>
      <c r="I252" s="214">
        <f t="shared" si="167"/>
        <v>0.13888888888888887</v>
      </c>
      <c r="J252" s="214">
        <f t="shared" si="167"/>
        <v>0.13888888888888887</v>
      </c>
      <c r="K252" s="214">
        <f t="shared" si="167"/>
        <v>0.13888888888888887</v>
      </c>
      <c r="L252" s="214">
        <f t="shared" si="167"/>
        <v>0.13888888888888887</v>
      </c>
      <c r="M252" s="214">
        <f t="shared" si="167"/>
        <v>0.13888888888888887</v>
      </c>
      <c r="N252" s="214">
        <f t="shared" si="167"/>
        <v>0.13888888888888887</v>
      </c>
      <c r="O252" s="214">
        <f t="shared" si="167"/>
        <v>0.13888888888888887</v>
      </c>
      <c r="P252" s="214">
        <f t="shared" si="167"/>
        <v>0.13888888888888887</v>
      </c>
    </row>
    <row r="253" spans="1:16" x14ac:dyDescent="0.2">
      <c r="A253" s="375"/>
      <c r="B253" s="215"/>
      <c r="C253" s="210"/>
      <c r="D253" s="362"/>
      <c r="E253" s="213"/>
      <c r="F253" s="213"/>
      <c r="G253" s="213"/>
      <c r="H253" s="213"/>
      <c r="I253" s="213"/>
      <c r="J253" s="213"/>
      <c r="K253" s="213"/>
      <c r="L253" s="213"/>
      <c r="M253" s="216"/>
      <c r="N253" s="216"/>
      <c r="O253" s="211"/>
      <c r="P253" s="211"/>
    </row>
    <row r="254" spans="1:16" x14ac:dyDescent="0.2">
      <c r="A254" s="377" t="str">
        <f t="shared" si="166"/>
        <v>Допускания</v>
      </c>
      <c r="B254" s="210"/>
      <c r="C254" s="210"/>
      <c r="D254" s="356"/>
      <c r="E254" s="213"/>
      <c r="F254" s="213"/>
      <c r="G254" s="213"/>
      <c r="H254" s="213"/>
      <c r="I254" s="213"/>
      <c r="J254" s="213"/>
      <c r="K254" s="213"/>
      <c r="L254" s="216"/>
      <c r="M254" s="216"/>
      <c r="N254" s="216"/>
      <c r="O254" s="211"/>
      <c r="P254" s="211"/>
    </row>
    <row r="255" spans="1:16" x14ac:dyDescent="0.2">
      <c r="A255" s="375" t="str">
        <f t="shared" si="166"/>
        <v>Работни дни седмично</v>
      </c>
      <c r="B255" s="210"/>
      <c r="C255" s="210"/>
      <c r="D255" s="356" t="s">
        <v>28</v>
      </c>
      <c r="E255" s="210">
        <f>E28</f>
        <v>5</v>
      </c>
      <c r="F255" s="210">
        <f t="shared" ref="F255:P255" si="168">+E255</f>
        <v>5</v>
      </c>
      <c r="G255" s="210">
        <f t="shared" si="168"/>
        <v>5</v>
      </c>
      <c r="H255" s="210">
        <f t="shared" si="168"/>
        <v>5</v>
      </c>
      <c r="I255" s="210">
        <f t="shared" si="168"/>
        <v>5</v>
      </c>
      <c r="J255" s="210">
        <f t="shared" si="168"/>
        <v>5</v>
      </c>
      <c r="K255" s="210">
        <f t="shared" si="168"/>
        <v>5</v>
      </c>
      <c r="L255" s="210">
        <f t="shared" si="168"/>
        <v>5</v>
      </c>
      <c r="M255" s="210">
        <f t="shared" si="168"/>
        <v>5</v>
      </c>
      <c r="N255" s="210">
        <f t="shared" si="168"/>
        <v>5</v>
      </c>
      <c r="O255" s="210">
        <f t="shared" si="168"/>
        <v>5</v>
      </c>
      <c r="P255" s="210">
        <f t="shared" si="168"/>
        <v>5</v>
      </c>
    </row>
    <row r="256" spans="1:16" x14ac:dyDescent="0.2">
      <c r="A256" s="375" t="str">
        <f t="shared" si="166"/>
        <v>Ефективни работни часове на смяна</v>
      </c>
      <c r="B256" s="210"/>
      <c r="C256" s="210"/>
      <c r="D256" s="356" t="s">
        <v>30</v>
      </c>
      <c r="E256" s="210">
        <f>E29</f>
        <v>8</v>
      </c>
      <c r="F256" s="210">
        <f t="shared" ref="F256:P256" si="169">+E256</f>
        <v>8</v>
      </c>
      <c r="G256" s="210">
        <f t="shared" si="169"/>
        <v>8</v>
      </c>
      <c r="H256" s="210">
        <f t="shared" si="169"/>
        <v>8</v>
      </c>
      <c r="I256" s="210">
        <f t="shared" si="169"/>
        <v>8</v>
      </c>
      <c r="J256" s="210">
        <f t="shared" si="169"/>
        <v>8</v>
      </c>
      <c r="K256" s="210">
        <f t="shared" si="169"/>
        <v>8</v>
      </c>
      <c r="L256" s="210">
        <f t="shared" si="169"/>
        <v>8</v>
      </c>
      <c r="M256" s="210">
        <f t="shared" si="169"/>
        <v>8</v>
      </c>
      <c r="N256" s="210">
        <f t="shared" si="169"/>
        <v>8</v>
      </c>
      <c r="O256" s="210">
        <f t="shared" si="169"/>
        <v>8</v>
      </c>
      <c r="P256" s="210">
        <f t="shared" si="169"/>
        <v>8</v>
      </c>
    </row>
    <row r="257" spans="1:16" x14ac:dyDescent="0.2">
      <c r="A257" s="375" t="str">
        <f t="shared" si="166"/>
        <v>Брой смени</v>
      </c>
      <c r="B257" s="210"/>
      <c r="C257" s="210"/>
      <c r="D257" s="356" t="s">
        <v>32</v>
      </c>
      <c r="E257" s="210">
        <f>E30</f>
        <v>1</v>
      </c>
      <c r="F257" s="210">
        <f t="shared" ref="F257:P257" si="170">+E257</f>
        <v>1</v>
      </c>
      <c r="G257" s="210">
        <f t="shared" si="170"/>
        <v>1</v>
      </c>
      <c r="H257" s="210">
        <f t="shared" si="170"/>
        <v>1</v>
      </c>
      <c r="I257" s="210">
        <f t="shared" si="170"/>
        <v>1</v>
      </c>
      <c r="J257" s="210">
        <f t="shared" si="170"/>
        <v>1</v>
      </c>
      <c r="K257" s="210">
        <f t="shared" si="170"/>
        <v>1</v>
      </c>
      <c r="L257" s="210">
        <f t="shared" si="170"/>
        <v>1</v>
      </c>
      <c r="M257" s="210">
        <f t="shared" si="170"/>
        <v>1</v>
      </c>
      <c r="N257" s="210">
        <f t="shared" si="170"/>
        <v>1</v>
      </c>
      <c r="O257" s="210">
        <f t="shared" si="170"/>
        <v>1</v>
      </c>
      <c r="P257" s="210">
        <f t="shared" si="170"/>
        <v>1</v>
      </c>
    </row>
    <row r="258" spans="1:16" x14ac:dyDescent="0.2">
      <c r="A258" s="210"/>
      <c r="B258" s="210"/>
      <c r="C258" s="210"/>
      <c r="D258" s="356"/>
      <c r="E258" s="210"/>
      <c r="F258" s="210"/>
      <c r="G258" s="210"/>
      <c r="H258" s="210"/>
      <c r="I258" s="210"/>
      <c r="J258" s="210"/>
      <c r="K258" s="210"/>
      <c r="L258" s="210"/>
      <c r="M258" s="210"/>
      <c r="N258" s="210"/>
      <c r="O258" s="210"/>
      <c r="P258" s="210"/>
    </row>
    <row r="259" spans="1:16" x14ac:dyDescent="0.2">
      <c r="A259" s="208" t="s">
        <v>33</v>
      </c>
      <c r="B259" s="210"/>
      <c r="C259" s="210"/>
      <c r="D259" s="356"/>
      <c r="E259" s="210"/>
      <c r="F259" s="210"/>
      <c r="G259" s="210"/>
      <c r="H259" s="210"/>
      <c r="I259" s="210"/>
      <c r="J259" s="210"/>
      <c r="K259" s="210"/>
      <c r="L259" s="210"/>
      <c r="M259" s="210"/>
      <c r="N259" s="210"/>
      <c r="O259" s="210"/>
      <c r="P259" s="210"/>
    </row>
    <row r="260" spans="1:16" x14ac:dyDescent="0.2">
      <c r="A260" s="375" t="str">
        <f t="shared" ref="A260:A266" si="171">A33</f>
        <v>Работни седмици в годината</v>
      </c>
      <c r="B260" s="210"/>
      <c r="C260" s="210"/>
      <c r="D260" s="356" t="s">
        <v>34</v>
      </c>
      <c r="E260" s="210">
        <f>E33</f>
        <v>46</v>
      </c>
      <c r="F260" s="218">
        <f t="shared" ref="F260:P260" si="172">+E260</f>
        <v>46</v>
      </c>
      <c r="G260" s="218">
        <f t="shared" si="172"/>
        <v>46</v>
      </c>
      <c r="H260" s="218">
        <f t="shared" si="172"/>
        <v>46</v>
      </c>
      <c r="I260" s="218">
        <f t="shared" si="172"/>
        <v>46</v>
      </c>
      <c r="J260" s="218">
        <f t="shared" si="172"/>
        <v>46</v>
      </c>
      <c r="K260" s="218">
        <f t="shared" si="172"/>
        <v>46</v>
      </c>
      <c r="L260" s="218">
        <f t="shared" si="172"/>
        <v>46</v>
      </c>
      <c r="M260" s="218">
        <f t="shared" si="172"/>
        <v>46</v>
      </c>
      <c r="N260" s="218">
        <f t="shared" si="172"/>
        <v>46</v>
      </c>
      <c r="O260" s="218">
        <f t="shared" si="172"/>
        <v>46</v>
      </c>
      <c r="P260" s="218">
        <f t="shared" si="172"/>
        <v>46</v>
      </c>
    </row>
    <row r="261" spans="1:16" x14ac:dyDescent="0.2">
      <c r="A261" s="375" t="str">
        <f t="shared" si="171"/>
        <v>Работни дни седмично</v>
      </c>
      <c r="B261" s="210"/>
      <c r="C261" s="210"/>
      <c r="D261" s="356" t="s">
        <v>28</v>
      </c>
      <c r="E261" s="210">
        <f>E34</f>
        <v>5</v>
      </c>
      <c r="F261" s="218">
        <f t="shared" ref="F261:P261" si="173">+E261</f>
        <v>5</v>
      </c>
      <c r="G261" s="218">
        <f t="shared" si="173"/>
        <v>5</v>
      </c>
      <c r="H261" s="218">
        <f t="shared" si="173"/>
        <v>5</v>
      </c>
      <c r="I261" s="218">
        <f t="shared" si="173"/>
        <v>5</v>
      </c>
      <c r="J261" s="218">
        <f t="shared" si="173"/>
        <v>5</v>
      </c>
      <c r="K261" s="218">
        <f t="shared" si="173"/>
        <v>5</v>
      </c>
      <c r="L261" s="218">
        <f t="shared" si="173"/>
        <v>5</v>
      </c>
      <c r="M261" s="218">
        <f t="shared" si="173"/>
        <v>5</v>
      </c>
      <c r="N261" s="218">
        <f t="shared" si="173"/>
        <v>5</v>
      </c>
      <c r="O261" s="218">
        <f t="shared" si="173"/>
        <v>5</v>
      </c>
      <c r="P261" s="218">
        <f t="shared" si="173"/>
        <v>5</v>
      </c>
    </row>
    <row r="262" spans="1:16" x14ac:dyDescent="0.2">
      <c r="A262" s="375" t="str">
        <f t="shared" si="171"/>
        <v>Болнични</v>
      </c>
      <c r="B262" s="210"/>
      <c r="C262" s="210"/>
      <c r="D262" s="356"/>
      <c r="E262" s="220">
        <f>E35</f>
        <v>0.05</v>
      </c>
      <c r="F262" s="220">
        <f t="shared" ref="F262:P262" si="174">+E262</f>
        <v>0.05</v>
      </c>
      <c r="G262" s="220">
        <f t="shared" si="174"/>
        <v>0.05</v>
      </c>
      <c r="H262" s="220">
        <f t="shared" si="174"/>
        <v>0.05</v>
      </c>
      <c r="I262" s="220">
        <f t="shared" si="174"/>
        <v>0.05</v>
      </c>
      <c r="J262" s="220">
        <f t="shared" si="174"/>
        <v>0.05</v>
      </c>
      <c r="K262" s="220">
        <f t="shared" si="174"/>
        <v>0.05</v>
      </c>
      <c r="L262" s="220">
        <f t="shared" si="174"/>
        <v>0.05</v>
      </c>
      <c r="M262" s="220">
        <f t="shared" si="174"/>
        <v>0.05</v>
      </c>
      <c r="N262" s="220">
        <f t="shared" si="174"/>
        <v>0.05</v>
      </c>
      <c r="O262" s="220">
        <f t="shared" si="174"/>
        <v>0.05</v>
      </c>
      <c r="P262" s="220">
        <f t="shared" si="174"/>
        <v>0.05</v>
      </c>
    </row>
    <row r="263" spans="1:16" x14ac:dyDescent="0.2">
      <c r="A263" s="375" t="str">
        <f t="shared" si="171"/>
        <v>Работни дни в годината</v>
      </c>
      <c r="B263" s="210"/>
      <c r="C263" s="210"/>
      <c r="D263" s="356" t="s">
        <v>37</v>
      </c>
      <c r="E263" s="210">
        <f t="shared" ref="E263:P263" si="175">+E260*E261*(1-E262)</f>
        <v>218.5</v>
      </c>
      <c r="F263" s="210">
        <f t="shared" si="175"/>
        <v>218.5</v>
      </c>
      <c r="G263" s="210">
        <f t="shared" si="175"/>
        <v>218.5</v>
      </c>
      <c r="H263" s="210">
        <f t="shared" si="175"/>
        <v>218.5</v>
      </c>
      <c r="I263" s="210">
        <f t="shared" si="175"/>
        <v>218.5</v>
      </c>
      <c r="J263" s="210">
        <f t="shared" si="175"/>
        <v>218.5</v>
      </c>
      <c r="K263" s="210">
        <f t="shared" si="175"/>
        <v>218.5</v>
      </c>
      <c r="L263" s="210">
        <f t="shared" si="175"/>
        <v>218.5</v>
      </c>
      <c r="M263" s="210">
        <f t="shared" si="175"/>
        <v>218.5</v>
      </c>
      <c r="N263" s="210">
        <f t="shared" si="175"/>
        <v>218.5</v>
      </c>
      <c r="O263" s="210">
        <f t="shared" si="175"/>
        <v>218.5</v>
      </c>
      <c r="P263" s="210">
        <f t="shared" si="175"/>
        <v>218.5</v>
      </c>
    </row>
    <row r="264" spans="1:16" x14ac:dyDescent="0.2">
      <c r="A264" s="375" t="str">
        <f t="shared" si="171"/>
        <v>Работни дни седмично</v>
      </c>
      <c r="B264" s="210"/>
      <c r="C264" s="210"/>
      <c r="D264" s="356" t="s">
        <v>28</v>
      </c>
      <c r="E264" s="210">
        <f t="shared" ref="E264:P264" si="176">+E255</f>
        <v>5</v>
      </c>
      <c r="F264" s="210">
        <f t="shared" si="176"/>
        <v>5</v>
      </c>
      <c r="G264" s="210">
        <f t="shared" si="176"/>
        <v>5</v>
      </c>
      <c r="H264" s="210">
        <f t="shared" si="176"/>
        <v>5</v>
      </c>
      <c r="I264" s="210">
        <f t="shared" si="176"/>
        <v>5</v>
      </c>
      <c r="J264" s="210">
        <f t="shared" si="176"/>
        <v>5</v>
      </c>
      <c r="K264" s="210">
        <f t="shared" si="176"/>
        <v>5</v>
      </c>
      <c r="L264" s="210">
        <f t="shared" si="176"/>
        <v>5</v>
      </c>
      <c r="M264" s="210">
        <f t="shared" si="176"/>
        <v>5</v>
      </c>
      <c r="N264" s="210">
        <f t="shared" si="176"/>
        <v>5</v>
      </c>
      <c r="O264" s="210">
        <f t="shared" si="176"/>
        <v>5</v>
      </c>
      <c r="P264" s="210">
        <f t="shared" si="176"/>
        <v>5</v>
      </c>
    </row>
    <row r="265" spans="1:16" x14ac:dyDescent="0.2">
      <c r="A265" s="375" t="str">
        <f t="shared" si="171"/>
        <v>Необходими работни дни</v>
      </c>
      <c r="B265" s="210"/>
      <c r="C265" s="210"/>
      <c r="D265" s="356" t="s">
        <v>37</v>
      </c>
      <c r="E265" s="210">
        <f t="shared" ref="E265:P265" si="177">52*E264</f>
        <v>260</v>
      </c>
      <c r="F265" s="210">
        <f t="shared" si="177"/>
        <v>260</v>
      </c>
      <c r="G265" s="210">
        <f t="shared" si="177"/>
        <v>260</v>
      </c>
      <c r="H265" s="210">
        <f t="shared" si="177"/>
        <v>260</v>
      </c>
      <c r="I265" s="210">
        <f t="shared" si="177"/>
        <v>260</v>
      </c>
      <c r="J265" s="210">
        <f t="shared" si="177"/>
        <v>260</v>
      </c>
      <c r="K265" s="210">
        <f t="shared" si="177"/>
        <v>260</v>
      </c>
      <c r="L265" s="210">
        <f t="shared" si="177"/>
        <v>260</v>
      </c>
      <c r="M265" s="210">
        <f t="shared" si="177"/>
        <v>260</v>
      </c>
      <c r="N265" s="210">
        <f t="shared" si="177"/>
        <v>260</v>
      </c>
      <c r="O265" s="210">
        <f t="shared" si="177"/>
        <v>260</v>
      </c>
      <c r="P265" s="210">
        <f t="shared" si="177"/>
        <v>260</v>
      </c>
    </row>
    <row r="266" spans="1:16" x14ac:dyDescent="0.2">
      <c r="A266" s="375" t="str">
        <f t="shared" si="171"/>
        <v>Човешки фактор</v>
      </c>
      <c r="B266" s="210"/>
      <c r="C266" s="210"/>
      <c r="D266" s="356"/>
      <c r="E266" s="220">
        <f t="shared" ref="E266:P266" si="178">+E265/E263</f>
        <v>1.1899313501144164</v>
      </c>
      <c r="F266" s="220">
        <f t="shared" si="178"/>
        <v>1.1899313501144164</v>
      </c>
      <c r="G266" s="220">
        <f t="shared" si="178"/>
        <v>1.1899313501144164</v>
      </c>
      <c r="H266" s="220">
        <f t="shared" si="178"/>
        <v>1.1899313501144164</v>
      </c>
      <c r="I266" s="220">
        <f t="shared" si="178"/>
        <v>1.1899313501144164</v>
      </c>
      <c r="J266" s="220">
        <f t="shared" si="178"/>
        <v>1.1899313501144164</v>
      </c>
      <c r="K266" s="220">
        <f t="shared" si="178"/>
        <v>1.1899313501144164</v>
      </c>
      <c r="L266" s="220">
        <f t="shared" si="178"/>
        <v>1.1899313501144164</v>
      </c>
      <c r="M266" s="220">
        <f t="shared" si="178"/>
        <v>1.1899313501144164</v>
      </c>
      <c r="N266" s="220">
        <f t="shared" si="178"/>
        <v>1.1899313501144164</v>
      </c>
      <c r="O266" s="220">
        <f t="shared" si="178"/>
        <v>1.1899313501144164</v>
      </c>
      <c r="P266" s="220">
        <f t="shared" si="178"/>
        <v>1.1899313501144164</v>
      </c>
    </row>
    <row r="267" spans="1:16" x14ac:dyDescent="0.2">
      <c r="A267" s="210"/>
      <c r="B267" s="210"/>
      <c r="C267" s="210"/>
      <c r="D267" s="356"/>
      <c r="E267" s="211"/>
      <c r="F267" s="211"/>
      <c r="G267" s="211"/>
      <c r="H267" s="211"/>
      <c r="I267" s="211"/>
      <c r="J267" s="211"/>
      <c r="K267" s="211"/>
      <c r="L267" s="210"/>
      <c r="M267" s="210"/>
      <c r="N267" s="210"/>
      <c r="O267" s="210"/>
      <c r="P267" s="210"/>
    </row>
    <row r="268" spans="1:16" x14ac:dyDescent="0.2">
      <c r="A268" s="208" t="s">
        <v>40</v>
      </c>
      <c r="B268" s="210"/>
      <c r="C268" s="210"/>
      <c r="D268" s="356"/>
      <c r="E268" s="218"/>
      <c r="F268" s="218"/>
      <c r="G268" s="218"/>
      <c r="H268" s="218"/>
      <c r="I268" s="218"/>
      <c r="J268" s="218"/>
      <c r="K268" s="218"/>
      <c r="L268" s="218"/>
      <c r="M268" s="218"/>
      <c r="N268" s="218"/>
      <c r="O268" s="218"/>
      <c r="P268" s="218"/>
    </row>
    <row r="269" spans="1:16" x14ac:dyDescent="0.2">
      <c r="A269" s="375" t="str">
        <f t="shared" ref="A269:A278" si="179">A42</f>
        <v>Плътност на отпадъците</v>
      </c>
      <c r="B269" s="210"/>
      <c r="C269" s="210"/>
      <c r="D269" s="356" t="s">
        <v>41</v>
      </c>
      <c r="E269" s="216">
        <f>'Масов баланс'!E341</f>
        <v>9.1666666666666674E-2</v>
      </c>
      <c r="F269" s="216">
        <f>'Масов баланс'!F341</f>
        <v>9.1666666666666674E-2</v>
      </c>
      <c r="G269" s="216">
        <f>'Масов баланс'!G341</f>
        <v>9.1666666666666674E-2</v>
      </c>
      <c r="H269" s="216">
        <f>'Масов баланс'!H341</f>
        <v>9.1666666666666674E-2</v>
      </c>
      <c r="I269" s="216">
        <f>'Масов баланс'!I341</f>
        <v>9.1666666666666674E-2</v>
      </c>
      <c r="J269" s="216">
        <f>'Масов баланс'!J341</f>
        <v>9.1666666666666674E-2</v>
      </c>
      <c r="K269" s="216">
        <f>'Масов баланс'!K341</f>
        <v>9.1666666666666674E-2</v>
      </c>
      <c r="L269" s="216">
        <f>'Масов баланс'!L341</f>
        <v>9.1666666666666674E-2</v>
      </c>
      <c r="M269" s="216">
        <f>'Масов баланс'!M341</f>
        <v>9.1666666666666674E-2</v>
      </c>
      <c r="N269" s="216">
        <f>'Масов баланс'!N341</f>
        <v>9.1666666666666674E-2</v>
      </c>
      <c r="O269" s="216">
        <f>'Масов баланс'!O341</f>
        <v>9.1666666666666674E-2</v>
      </c>
      <c r="P269" s="216">
        <f>'Масов баланс'!P341</f>
        <v>9.1666666666666674E-2</v>
      </c>
    </row>
    <row r="270" spans="1:16" ht="15" x14ac:dyDescent="0.2">
      <c r="A270" s="375" t="str">
        <f t="shared" si="179"/>
        <v>Обем на отпадъците</v>
      </c>
      <c r="B270" s="210"/>
      <c r="C270" s="210"/>
      <c r="D270" s="356" t="s">
        <v>202</v>
      </c>
      <c r="E270" s="221">
        <f t="shared" ref="E270:P270" si="180">IF(E248=0,0,E248/E269)</f>
        <v>27903.272727272728</v>
      </c>
      <c r="F270" s="221">
        <f t="shared" si="180"/>
        <v>27903.272727272728</v>
      </c>
      <c r="G270" s="221">
        <f t="shared" si="180"/>
        <v>27903.272727272728</v>
      </c>
      <c r="H270" s="221">
        <f t="shared" si="180"/>
        <v>27903.272727272728</v>
      </c>
      <c r="I270" s="221">
        <f t="shared" si="180"/>
        <v>27903.272727272728</v>
      </c>
      <c r="J270" s="221">
        <f t="shared" si="180"/>
        <v>27903.272727272728</v>
      </c>
      <c r="K270" s="221">
        <f t="shared" si="180"/>
        <v>27903.272727272728</v>
      </c>
      <c r="L270" s="221">
        <f t="shared" si="180"/>
        <v>27903.272727272728</v>
      </c>
      <c r="M270" s="221">
        <f t="shared" si="180"/>
        <v>27903.272727272728</v>
      </c>
      <c r="N270" s="221">
        <f t="shared" si="180"/>
        <v>27903.272727272728</v>
      </c>
      <c r="O270" s="221">
        <f t="shared" si="180"/>
        <v>27903.272727272728</v>
      </c>
      <c r="P270" s="221">
        <f t="shared" si="180"/>
        <v>27903.272727272728</v>
      </c>
    </row>
    <row r="271" spans="1:16" ht="15" x14ac:dyDescent="0.2">
      <c r="A271" s="375" t="str">
        <f t="shared" si="179"/>
        <v>Обем на съдовете</v>
      </c>
      <c r="B271" s="210"/>
      <c r="C271" s="210"/>
      <c r="D271" s="356" t="s">
        <v>203</v>
      </c>
      <c r="E271" s="210">
        <f>E44</f>
        <v>1.1000000000000001</v>
      </c>
      <c r="F271" s="210">
        <f t="shared" ref="F271:P271" si="181">+E271</f>
        <v>1.1000000000000001</v>
      </c>
      <c r="G271" s="210">
        <f t="shared" si="181"/>
        <v>1.1000000000000001</v>
      </c>
      <c r="H271" s="210">
        <f t="shared" si="181"/>
        <v>1.1000000000000001</v>
      </c>
      <c r="I271" s="210">
        <f t="shared" si="181"/>
        <v>1.1000000000000001</v>
      </c>
      <c r="J271" s="210">
        <f t="shared" si="181"/>
        <v>1.1000000000000001</v>
      </c>
      <c r="K271" s="210">
        <f t="shared" si="181"/>
        <v>1.1000000000000001</v>
      </c>
      <c r="L271" s="210">
        <f t="shared" si="181"/>
        <v>1.1000000000000001</v>
      </c>
      <c r="M271" s="210">
        <f t="shared" si="181"/>
        <v>1.1000000000000001</v>
      </c>
      <c r="N271" s="210">
        <f t="shared" si="181"/>
        <v>1.1000000000000001</v>
      </c>
      <c r="O271" s="210">
        <f t="shared" si="181"/>
        <v>1.1000000000000001</v>
      </c>
      <c r="P271" s="210">
        <f t="shared" si="181"/>
        <v>1.1000000000000001</v>
      </c>
    </row>
    <row r="272" spans="1:16" x14ac:dyDescent="0.2">
      <c r="A272" s="375" t="str">
        <f t="shared" si="179"/>
        <v>Честота на събиране годишно</v>
      </c>
      <c r="B272" s="210"/>
      <c r="C272" s="210"/>
      <c r="D272" s="356" t="s">
        <v>45</v>
      </c>
      <c r="E272" s="210">
        <f>Допускания!C36</f>
        <v>104</v>
      </c>
      <c r="F272" s="210">
        <f t="shared" ref="F272:P272" si="182">+E272</f>
        <v>104</v>
      </c>
      <c r="G272" s="210">
        <f t="shared" si="182"/>
        <v>104</v>
      </c>
      <c r="H272" s="210">
        <f t="shared" si="182"/>
        <v>104</v>
      </c>
      <c r="I272" s="210">
        <f t="shared" si="182"/>
        <v>104</v>
      </c>
      <c r="J272" s="210">
        <f t="shared" si="182"/>
        <v>104</v>
      </c>
      <c r="K272" s="210">
        <f t="shared" si="182"/>
        <v>104</v>
      </c>
      <c r="L272" s="210">
        <f t="shared" si="182"/>
        <v>104</v>
      </c>
      <c r="M272" s="210">
        <f t="shared" si="182"/>
        <v>104</v>
      </c>
      <c r="N272" s="210">
        <f t="shared" si="182"/>
        <v>104</v>
      </c>
      <c r="O272" s="210">
        <f t="shared" si="182"/>
        <v>104</v>
      </c>
      <c r="P272" s="210">
        <f t="shared" si="182"/>
        <v>104</v>
      </c>
    </row>
    <row r="273" spans="1:17" x14ac:dyDescent="0.2">
      <c r="A273" s="375" t="str">
        <f t="shared" si="179"/>
        <v>Средна запълненост на контейнерите</v>
      </c>
      <c r="B273" s="210"/>
      <c r="C273" s="210"/>
      <c r="D273" s="356" t="s">
        <v>19</v>
      </c>
      <c r="E273" s="220">
        <f t="shared" ref="E273:P273" si="183">E46</f>
        <v>0.9</v>
      </c>
      <c r="F273" s="220">
        <f t="shared" si="183"/>
        <v>0.9</v>
      </c>
      <c r="G273" s="220">
        <f t="shared" si="183"/>
        <v>0.9</v>
      </c>
      <c r="H273" s="220">
        <f t="shared" si="183"/>
        <v>0.9</v>
      </c>
      <c r="I273" s="220">
        <f t="shared" si="183"/>
        <v>0.9</v>
      </c>
      <c r="J273" s="220">
        <f t="shared" si="183"/>
        <v>0.9</v>
      </c>
      <c r="K273" s="220">
        <f t="shared" si="183"/>
        <v>0.9</v>
      </c>
      <c r="L273" s="220">
        <f t="shared" si="183"/>
        <v>0.9</v>
      </c>
      <c r="M273" s="220">
        <f t="shared" si="183"/>
        <v>0.9</v>
      </c>
      <c r="N273" s="220">
        <f t="shared" si="183"/>
        <v>0.9</v>
      </c>
      <c r="O273" s="220">
        <f t="shared" si="183"/>
        <v>0.9</v>
      </c>
      <c r="P273" s="220">
        <f t="shared" si="183"/>
        <v>0.9</v>
      </c>
      <c r="Q273" s="97"/>
    </row>
    <row r="274" spans="1:17" x14ac:dyDescent="0.2">
      <c r="A274" s="375" t="str">
        <f t="shared" si="179"/>
        <v>Коефициент на неравномерност</v>
      </c>
      <c r="B274" s="210"/>
      <c r="C274" s="210"/>
      <c r="D274" s="356"/>
      <c r="E274" s="210">
        <f>E47</f>
        <v>1.2</v>
      </c>
      <c r="F274" s="210">
        <f>E274</f>
        <v>1.2</v>
      </c>
      <c r="G274" s="210">
        <f t="shared" ref="G274:P274" si="184">F274</f>
        <v>1.2</v>
      </c>
      <c r="H274" s="210">
        <f t="shared" si="184"/>
        <v>1.2</v>
      </c>
      <c r="I274" s="210">
        <f t="shared" si="184"/>
        <v>1.2</v>
      </c>
      <c r="J274" s="210">
        <f t="shared" si="184"/>
        <v>1.2</v>
      </c>
      <c r="K274" s="210">
        <f t="shared" si="184"/>
        <v>1.2</v>
      </c>
      <c r="L274" s="210">
        <f t="shared" si="184"/>
        <v>1.2</v>
      </c>
      <c r="M274" s="210">
        <f t="shared" si="184"/>
        <v>1.2</v>
      </c>
      <c r="N274" s="210">
        <f t="shared" si="184"/>
        <v>1.2</v>
      </c>
      <c r="O274" s="210">
        <f t="shared" si="184"/>
        <v>1.2</v>
      </c>
      <c r="P274" s="210">
        <f t="shared" si="184"/>
        <v>1.2</v>
      </c>
    </row>
    <row r="275" spans="1:17" x14ac:dyDescent="0.2">
      <c r="A275" s="375" t="str">
        <f t="shared" si="179"/>
        <v>Необходим брой контейнери</v>
      </c>
      <c r="B275" s="210"/>
      <c r="C275" s="210"/>
      <c r="D275" s="356" t="s">
        <v>49</v>
      </c>
      <c r="E275" s="210">
        <f t="shared" ref="E275:P275" si="185">IF(E248=0,0,ROUNDUP((E270/E273/E271)*E274/E272,))</f>
        <v>326</v>
      </c>
      <c r="F275" s="210">
        <f t="shared" si="185"/>
        <v>326</v>
      </c>
      <c r="G275" s="210">
        <f t="shared" si="185"/>
        <v>326</v>
      </c>
      <c r="H275" s="210">
        <f t="shared" si="185"/>
        <v>326</v>
      </c>
      <c r="I275" s="210">
        <f t="shared" si="185"/>
        <v>326</v>
      </c>
      <c r="J275" s="210">
        <f t="shared" si="185"/>
        <v>326</v>
      </c>
      <c r="K275" s="210">
        <f t="shared" si="185"/>
        <v>326</v>
      </c>
      <c r="L275" s="210">
        <f t="shared" si="185"/>
        <v>326</v>
      </c>
      <c r="M275" s="210">
        <f t="shared" si="185"/>
        <v>326</v>
      </c>
      <c r="N275" s="210">
        <f t="shared" si="185"/>
        <v>326</v>
      </c>
      <c r="O275" s="210">
        <f t="shared" si="185"/>
        <v>326</v>
      </c>
      <c r="P275" s="210">
        <f t="shared" si="185"/>
        <v>326</v>
      </c>
    </row>
    <row r="276" spans="1:17" x14ac:dyDescent="0.2">
      <c r="A276" s="375" t="str">
        <f t="shared" si="179"/>
        <v>Контейнери за разполагане</v>
      </c>
      <c r="B276" s="210"/>
      <c r="C276" s="210"/>
      <c r="D276" s="356" t="s">
        <v>49</v>
      </c>
      <c r="E276" s="210">
        <f>IF(Допускания!$C$5=3,MAX(E427,E351,E275),0)</f>
        <v>326</v>
      </c>
      <c r="F276" s="210">
        <f>IF(Допускания!$C$5=3,MAX(F427,F351,F275),0)</f>
        <v>326</v>
      </c>
      <c r="G276" s="210">
        <f>IF(Допускания!$C$5=3,MAX(G427,G351,G275),0)</f>
        <v>326</v>
      </c>
      <c r="H276" s="210">
        <f>IF(Допускания!$C$5=3,MAX(H427,H351,H275),0)</f>
        <v>326</v>
      </c>
      <c r="I276" s="210">
        <f>IF(Допускания!$C$5=3,MAX(I427,I351,I275),0)</f>
        <v>326</v>
      </c>
      <c r="J276" s="210">
        <f>IF(Допускания!$C$5=3,MAX(J427,J351,J275),0)</f>
        <v>326</v>
      </c>
      <c r="K276" s="210">
        <f>IF(Допускания!$C$5=3,MAX(K427,K351,K275),0)</f>
        <v>326</v>
      </c>
      <c r="L276" s="210">
        <f>IF(Допускания!$C$5=3,MAX(L427,L351,L275),0)</f>
        <v>326</v>
      </c>
      <c r="M276" s="210">
        <f>IF(Допускания!$C$5=3,MAX(M427,M351,M275),0)</f>
        <v>326</v>
      </c>
      <c r="N276" s="210">
        <f>IF(Допускания!$C$5=3,MAX(N427,N351,N275),0)</f>
        <v>326</v>
      </c>
      <c r="O276" s="210">
        <f>IF(Допускания!$C$5=3,MAX(O427,O351,O275),0)</f>
        <v>326</v>
      </c>
      <c r="P276" s="210">
        <f>IF(Допускания!$C$5=3,MAX(P427,P351,P275),0)</f>
        <v>326</v>
      </c>
    </row>
    <row r="277" spans="1:17" ht="15" x14ac:dyDescent="0.2">
      <c r="A277" s="375" t="str">
        <f t="shared" si="179"/>
        <v>Среден обем на отпадъците във вдигнат контейнер</v>
      </c>
      <c r="B277" s="222"/>
      <c r="C277" s="222"/>
      <c r="D277" s="356" t="s">
        <v>203</v>
      </c>
      <c r="E277" s="223">
        <f t="shared" ref="E277:P277" si="186">IF(E276=0,0,E270/E276/E272)</f>
        <v>0.82300828006349491</v>
      </c>
      <c r="F277" s="223">
        <f t="shared" si="186"/>
        <v>0.82300828006349491</v>
      </c>
      <c r="G277" s="223">
        <f t="shared" si="186"/>
        <v>0.82300828006349491</v>
      </c>
      <c r="H277" s="223">
        <f t="shared" si="186"/>
        <v>0.82300828006349491</v>
      </c>
      <c r="I277" s="223">
        <f t="shared" si="186"/>
        <v>0.82300828006349491</v>
      </c>
      <c r="J277" s="223">
        <f t="shared" si="186"/>
        <v>0.82300828006349491</v>
      </c>
      <c r="K277" s="223">
        <f t="shared" si="186"/>
        <v>0.82300828006349491</v>
      </c>
      <c r="L277" s="223">
        <f t="shared" si="186"/>
        <v>0.82300828006349491</v>
      </c>
      <c r="M277" s="223">
        <f t="shared" si="186"/>
        <v>0.82300828006349491</v>
      </c>
      <c r="N277" s="223">
        <f t="shared" si="186"/>
        <v>0.82300828006349491</v>
      </c>
      <c r="O277" s="223">
        <f t="shared" si="186"/>
        <v>0.82300828006349491</v>
      </c>
      <c r="P277" s="223">
        <f t="shared" si="186"/>
        <v>0.82300828006349491</v>
      </c>
    </row>
    <row r="278" spans="1:17" x14ac:dyDescent="0.2">
      <c r="A278" s="375" t="str">
        <f t="shared" si="179"/>
        <v>Средно количество отпадъци от вдигнат контейнер</v>
      </c>
      <c r="B278" s="222"/>
      <c r="C278" s="222"/>
      <c r="D278" s="356" t="s">
        <v>43</v>
      </c>
      <c r="E278" s="224">
        <f t="shared" ref="E278:P278" si="187">+E277*E269</f>
        <v>7.5442425672487046E-2</v>
      </c>
      <c r="F278" s="224">
        <f t="shared" si="187"/>
        <v>7.5442425672487046E-2</v>
      </c>
      <c r="G278" s="224">
        <f t="shared" si="187"/>
        <v>7.5442425672487046E-2</v>
      </c>
      <c r="H278" s="224">
        <f t="shared" si="187"/>
        <v>7.5442425672487046E-2</v>
      </c>
      <c r="I278" s="224">
        <f t="shared" si="187"/>
        <v>7.5442425672487046E-2</v>
      </c>
      <c r="J278" s="224">
        <f t="shared" si="187"/>
        <v>7.5442425672487046E-2</v>
      </c>
      <c r="K278" s="224">
        <f t="shared" si="187"/>
        <v>7.5442425672487046E-2</v>
      </c>
      <c r="L278" s="224">
        <f t="shared" si="187"/>
        <v>7.5442425672487046E-2</v>
      </c>
      <c r="M278" s="224">
        <f t="shared" si="187"/>
        <v>7.5442425672487046E-2</v>
      </c>
      <c r="N278" s="224">
        <f t="shared" si="187"/>
        <v>7.5442425672487046E-2</v>
      </c>
      <c r="O278" s="224">
        <f t="shared" si="187"/>
        <v>7.5442425672487046E-2</v>
      </c>
      <c r="P278" s="224">
        <f t="shared" si="187"/>
        <v>7.5442425672487046E-2</v>
      </c>
    </row>
    <row r="279" spans="1:17" x14ac:dyDescent="0.2">
      <c r="A279" s="210"/>
      <c r="B279" s="210"/>
      <c r="C279" s="210"/>
      <c r="D279" s="356"/>
      <c r="E279" s="225"/>
      <c r="F279" s="225"/>
      <c r="G279" s="225"/>
      <c r="H279" s="225"/>
      <c r="I279" s="225"/>
      <c r="J279" s="225"/>
      <c r="K279" s="225"/>
      <c r="L279" s="225"/>
      <c r="M279" s="225"/>
      <c r="N279" s="225"/>
      <c r="O279" s="225"/>
      <c r="P279" s="225"/>
    </row>
    <row r="280" spans="1:17" x14ac:dyDescent="0.2">
      <c r="A280" s="208" t="s">
        <v>48</v>
      </c>
      <c r="B280" s="210"/>
      <c r="C280" s="210"/>
      <c r="D280" s="356"/>
      <c r="E280" s="218">
        <f t="shared" ref="E280:P280" si="188">+E276*(1+E281)</f>
        <v>342.3</v>
      </c>
      <c r="F280" s="218">
        <f t="shared" si="188"/>
        <v>358.6</v>
      </c>
      <c r="G280" s="218">
        <f t="shared" si="188"/>
        <v>358.6</v>
      </c>
      <c r="H280" s="218">
        <f t="shared" si="188"/>
        <v>358.6</v>
      </c>
      <c r="I280" s="218">
        <f t="shared" si="188"/>
        <v>358.6</v>
      </c>
      <c r="J280" s="218">
        <f t="shared" si="188"/>
        <v>358.6</v>
      </c>
      <c r="K280" s="218">
        <f t="shared" si="188"/>
        <v>358.6</v>
      </c>
      <c r="L280" s="218">
        <f t="shared" si="188"/>
        <v>358.6</v>
      </c>
      <c r="M280" s="218">
        <f t="shared" si="188"/>
        <v>358.6</v>
      </c>
      <c r="N280" s="218">
        <f t="shared" si="188"/>
        <v>358.6</v>
      </c>
      <c r="O280" s="218">
        <f t="shared" si="188"/>
        <v>358.6</v>
      </c>
      <c r="P280" s="218">
        <f t="shared" si="188"/>
        <v>358.6</v>
      </c>
    </row>
    <row r="281" spans="1:17" x14ac:dyDescent="0.2">
      <c r="A281" s="375" t="str">
        <f>A54</f>
        <v>Резерви за поддръжка</v>
      </c>
      <c r="B281" s="210"/>
      <c r="C281" s="210"/>
      <c r="D281" s="356"/>
      <c r="E281" s="220">
        <f>E54</f>
        <v>0.05</v>
      </c>
      <c r="F281" s="226">
        <f>10%</f>
        <v>0.1</v>
      </c>
      <c r="G281" s="226">
        <f>10%</f>
        <v>0.1</v>
      </c>
      <c r="H281" s="226">
        <f>10%</f>
        <v>0.1</v>
      </c>
      <c r="I281" s="226">
        <f>10%</f>
        <v>0.1</v>
      </c>
      <c r="J281" s="226">
        <f>10%</f>
        <v>0.1</v>
      </c>
      <c r="K281" s="226">
        <f>10%</f>
        <v>0.1</v>
      </c>
      <c r="L281" s="226">
        <f>10%</f>
        <v>0.1</v>
      </c>
      <c r="M281" s="226">
        <f>10%</f>
        <v>0.1</v>
      </c>
      <c r="N281" s="226">
        <f>10%</f>
        <v>0.1</v>
      </c>
      <c r="O281" s="226">
        <f>10%</f>
        <v>0.1</v>
      </c>
      <c r="P281" s="226">
        <f>10%</f>
        <v>0.1</v>
      </c>
    </row>
    <row r="282" spans="1:17" x14ac:dyDescent="0.2">
      <c r="A282" s="375" t="str">
        <f>A55</f>
        <v>Среден брой необходими контейнери</v>
      </c>
      <c r="B282" s="210"/>
      <c r="C282" s="210"/>
      <c r="D282" s="356"/>
      <c r="E282" s="218">
        <f t="shared" ref="E282:P282" si="189">+E280</f>
        <v>342.3</v>
      </c>
      <c r="F282" s="218">
        <f t="shared" si="189"/>
        <v>358.6</v>
      </c>
      <c r="G282" s="218">
        <f t="shared" si="189"/>
        <v>358.6</v>
      </c>
      <c r="H282" s="218">
        <f t="shared" si="189"/>
        <v>358.6</v>
      </c>
      <c r="I282" s="218">
        <f t="shared" si="189"/>
        <v>358.6</v>
      </c>
      <c r="J282" s="218">
        <f t="shared" si="189"/>
        <v>358.6</v>
      </c>
      <c r="K282" s="218">
        <f t="shared" si="189"/>
        <v>358.6</v>
      </c>
      <c r="L282" s="218">
        <f t="shared" si="189"/>
        <v>358.6</v>
      </c>
      <c r="M282" s="218">
        <f t="shared" si="189"/>
        <v>358.6</v>
      </c>
      <c r="N282" s="218">
        <f t="shared" si="189"/>
        <v>358.6</v>
      </c>
      <c r="O282" s="218">
        <f t="shared" si="189"/>
        <v>358.6</v>
      </c>
      <c r="P282" s="218">
        <f t="shared" si="189"/>
        <v>358.6</v>
      </c>
    </row>
    <row r="283" spans="1:17" x14ac:dyDescent="0.2">
      <c r="A283" s="210"/>
      <c r="B283" s="210"/>
      <c r="C283" s="210"/>
      <c r="D283" s="356"/>
      <c r="E283" s="213"/>
      <c r="F283" s="213"/>
      <c r="G283" s="213"/>
      <c r="H283" s="213"/>
      <c r="I283" s="213"/>
      <c r="J283" s="213"/>
      <c r="K283" s="213"/>
      <c r="L283" s="213"/>
      <c r="M283" s="213"/>
      <c r="N283" s="213"/>
      <c r="O283" s="213"/>
      <c r="P283" s="213"/>
    </row>
    <row r="284" spans="1:17" x14ac:dyDescent="0.2">
      <c r="A284" s="286" t="s">
        <v>173</v>
      </c>
      <c r="B284" s="210"/>
      <c r="C284" s="210"/>
      <c r="D284" s="356"/>
      <c r="E284" s="227"/>
      <c r="F284" s="227"/>
      <c r="G284" s="227"/>
      <c r="H284" s="227"/>
      <c r="I284" s="227"/>
      <c r="J284" s="227"/>
      <c r="K284" s="227"/>
      <c r="L284" s="227"/>
      <c r="M284" s="227"/>
      <c r="N284" s="227"/>
      <c r="O284" s="227"/>
      <c r="P284" s="227"/>
    </row>
    <row r="285" spans="1:17" x14ac:dyDescent="0.2">
      <c r="A285" s="375" t="str">
        <f>A58</f>
        <v>Товароносимост</v>
      </c>
      <c r="B285" s="210"/>
      <c r="C285" s="210"/>
      <c r="D285" s="356" t="s">
        <v>22</v>
      </c>
      <c r="E285" s="210">
        <f>E58</f>
        <v>4.8</v>
      </c>
      <c r="F285" s="227">
        <f t="shared" ref="F285:P285" si="190">+E285</f>
        <v>4.8</v>
      </c>
      <c r="G285" s="227">
        <f t="shared" si="190"/>
        <v>4.8</v>
      </c>
      <c r="H285" s="227">
        <f t="shared" si="190"/>
        <v>4.8</v>
      </c>
      <c r="I285" s="227">
        <f t="shared" si="190"/>
        <v>4.8</v>
      </c>
      <c r="J285" s="227">
        <f t="shared" si="190"/>
        <v>4.8</v>
      </c>
      <c r="K285" s="227">
        <f t="shared" si="190"/>
        <v>4.8</v>
      </c>
      <c r="L285" s="227">
        <f t="shared" si="190"/>
        <v>4.8</v>
      </c>
      <c r="M285" s="227">
        <f t="shared" si="190"/>
        <v>4.8</v>
      </c>
      <c r="N285" s="227">
        <f t="shared" si="190"/>
        <v>4.8</v>
      </c>
      <c r="O285" s="227">
        <f t="shared" si="190"/>
        <v>4.8</v>
      </c>
      <c r="P285" s="227">
        <f t="shared" si="190"/>
        <v>4.8</v>
      </c>
    </row>
    <row r="286" spans="1:17" x14ac:dyDescent="0.2">
      <c r="A286" s="375" t="str">
        <f>A59</f>
        <v>Оползотворяване на капацитета</v>
      </c>
      <c r="B286" s="210"/>
      <c r="C286" s="210"/>
      <c r="D286" s="356" t="s">
        <v>56</v>
      </c>
      <c r="E286" s="220">
        <f>E59</f>
        <v>0.85</v>
      </c>
      <c r="F286" s="219">
        <f t="shared" ref="F286:P286" si="191">+E286</f>
        <v>0.85</v>
      </c>
      <c r="G286" s="219">
        <f t="shared" si="191"/>
        <v>0.85</v>
      </c>
      <c r="H286" s="219">
        <f t="shared" si="191"/>
        <v>0.85</v>
      </c>
      <c r="I286" s="219">
        <f t="shared" si="191"/>
        <v>0.85</v>
      </c>
      <c r="J286" s="219">
        <f t="shared" si="191"/>
        <v>0.85</v>
      </c>
      <c r="K286" s="219">
        <f t="shared" si="191"/>
        <v>0.85</v>
      </c>
      <c r="L286" s="219">
        <f t="shared" si="191"/>
        <v>0.85</v>
      </c>
      <c r="M286" s="219">
        <f t="shared" si="191"/>
        <v>0.85</v>
      </c>
      <c r="N286" s="219">
        <f t="shared" si="191"/>
        <v>0.85</v>
      </c>
      <c r="O286" s="219">
        <f t="shared" si="191"/>
        <v>0.85</v>
      </c>
      <c r="P286" s="219">
        <f t="shared" si="191"/>
        <v>0.85</v>
      </c>
    </row>
    <row r="287" spans="1:17" x14ac:dyDescent="0.2">
      <c r="A287" s="375" t="str">
        <f>A60</f>
        <v>Средно опозотворен капацитет</v>
      </c>
      <c r="B287" s="210"/>
      <c r="C287" s="210"/>
      <c r="D287" s="356" t="s">
        <v>22</v>
      </c>
      <c r="E287" s="227">
        <f t="shared" ref="E287:P287" si="192">+E285*E286</f>
        <v>4.08</v>
      </c>
      <c r="F287" s="227">
        <f t="shared" si="192"/>
        <v>4.08</v>
      </c>
      <c r="G287" s="227">
        <f t="shared" si="192"/>
        <v>4.08</v>
      </c>
      <c r="H287" s="227">
        <f t="shared" si="192"/>
        <v>4.08</v>
      </c>
      <c r="I287" s="227">
        <f t="shared" si="192"/>
        <v>4.08</v>
      </c>
      <c r="J287" s="227">
        <f t="shared" si="192"/>
        <v>4.08</v>
      </c>
      <c r="K287" s="227">
        <f t="shared" si="192"/>
        <v>4.08</v>
      </c>
      <c r="L287" s="227">
        <f t="shared" si="192"/>
        <v>4.08</v>
      </c>
      <c r="M287" s="227">
        <f t="shared" si="192"/>
        <v>4.08</v>
      </c>
      <c r="N287" s="227">
        <f t="shared" si="192"/>
        <v>4.08</v>
      </c>
      <c r="O287" s="227">
        <f t="shared" si="192"/>
        <v>4.08</v>
      </c>
      <c r="P287" s="227">
        <f t="shared" si="192"/>
        <v>4.08</v>
      </c>
    </row>
    <row r="288" spans="1:17" x14ac:dyDescent="0.2">
      <c r="A288" s="375" t="str">
        <f>A61</f>
        <v>Наличност на автомобилите</v>
      </c>
      <c r="B288" s="210"/>
      <c r="C288" s="210"/>
      <c r="D288" s="356"/>
      <c r="E288" s="220">
        <f>E61</f>
        <v>0.85</v>
      </c>
      <c r="F288" s="219">
        <f t="shared" ref="F288:P288" si="193">+E288</f>
        <v>0.85</v>
      </c>
      <c r="G288" s="219">
        <f t="shared" si="193"/>
        <v>0.85</v>
      </c>
      <c r="H288" s="219">
        <f t="shared" si="193"/>
        <v>0.85</v>
      </c>
      <c r="I288" s="219">
        <f t="shared" si="193"/>
        <v>0.85</v>
      </c>
      <c r="J288" s="219">
        <f t="shared" si="193"/>
        <v>0.85</v>
      </c>
      <c r="K288" s="219">
        <f t="shared" si="193"/>
        <v>0.85</v>
      </c>
      <c r="L288" s="219">
        <f t="shared" si="193"/>
        <v>0.85</v>
      </c>
      <c r="M288" s="219">
        <f t="shared" si="193"/>
        <v>0.85</v>
      </c>
      <c r="N288" s="219">
        <f t="shared" si="193"/>
        <v>0.85</v>
      </c>
      <c r="O288" s="219">
        <f t="shared" si="193"/>
        <v>0.85</v>
      </c>
      <c r="P288" s="219">
        <f t="shared" si="193"/>
        <v>0.85</v>
      </c>
    </row>
    <row r="289" spans="1:16" x14ac:dyDescent="0.2">
      <c r="A289" s="210"/>
      <c r="B289" s="210"/>
      <c r="C289" s="210"/>
      <c r="D289" s="356"/>
      <c r="E289" s="219"/>
      <c r="F289" s="219"/>
      <c r="G289" s="219"/>
      <c r="H289" s="219"/>
      <c r="I289" s="219"/>
      <c r="J289" s="219"/>
      <c r="K289" s="219"/>
      <c r="L289" s="219"/>
      <c r="M289" s="219"/>
      <c r="N289" s="219"/>
      <c r="O289" s="219"/>
      <c r="P289" s="219"/>
    </row>
    <row r="290" spans="1:16" x14ac:dyDescent="0.2">
      <c r="A290" s="208" t="s">
        <v>59</v>
      </c>
      <c r="B290" s="210"/>
      <c r="C290" s="210"/>
      <c r="D290" s="356"/>
      <c r="E290" s="219"/>
      <c r="F290" s="219"/>
      <c r="G290" s="219"/>
      <c r="H290" s="219"/>
      <c r="I290" s="219"/>
      <c r="J290" s="219"/>
      <c r="K290" s="219"/>
      <c r="L290" s="219"/>
      <c r="M290" s="219"/>
      <c r="N290" s="219"/>
      <c r="O290" s="219"/>
      <c r="P290" s="219"/>
    </row>
    <row r="291" spans="1:16" x14ac:dyDescent="0.2">
      <c r="A291" s="375" t="str">
        <f t="shared" ref="A291:A313" si="194">A64</f>
        <v>Средно разстояние до площадката за разтоварване</v>
      </c>
      <c r="B291" s="210"/>
      <c r="C291" s="210"/>
      <c r="D291" s="356" t="s">
        <v>61</v>
      </c>
      <c r="E291" s="218">
        <f>B14</f>
        <v>10</v>
      </c>
      <c r="F291" s="218">
        <f t="shared" ref="F291:P291" si="195">+E291</f>
        <v>10</v>
      </c>
      <c r="G291" s="218">
        <f t="shared" si="195"/>
        <v>10</v>
      </c>
      <c r="H291" s="218">
        <f t="shared" si="195"/>
        <v>10</v>
      </c>
      <c r="I291" s="218">
        <f t="shared" si="195"/>
        <v>10</v>
      </c>
      <c r="J291" s="218">
        <f t="shared" si="195"/>
        <v>10</v>
      </c>
      <c r="K291" s="218">
        <f t="shared" si="195"/>
        <v>10</v>
      </c>
      <c r="L291" s="218">
        <f t="shared" si="195"/>
        <v>10</v>
      </c>
      <c r="M291" s="218">
        <f t="shared" si="195"/>
        <v>10</v>
      </c>
      <c r="N291" s="218">
        <f t="shared" si="195"/>
        <v>10</v>
      </c>
      <c r="O291" s="218">
        <f t="shared" si="195"/>
        <v>10</v>
      </c>
      <c r="P291" s="218">
        <f t="shared" si="195"/>
        <v>10</v>
      </c>
    </row>
    <row r="292" spans="1:16" x14ac:dyDescent="0.2">
      <c r="A292" s="375" t="str">
        <f t="shared" si="194"/>
        <v>Средна скорост при пътуване</v>
      </c>
      <c r="B292" s="210"/>
      <c r="C292" s="210"/>
      <c r="D292" s="356" t="s">
        <v>63</v>
      </c>
      <c r="E292" s="210">
        <f>E65</f>
        <v>30</v>
      </c>
      <c r="F292" s="218">
        <f t="shared" ref="F292:P292" si="196">E292</f>
        <v>30</v>
      </c>
      <c r="G292" s="218">
        <f t="shared" si="196"/>
        <v>30</v>
      </c>
      <c r="H292" s="218">
        <f t="shared" si="196"/>
        <v>30</v>
      </c>
      <c r="I292" s="218">
        <f t="shared" si="196"/>
        <v>30</v>
      </c>
      <c r="J292" s="218">
        <f t="shared" si="196"/>
        <v>30</v>
      </c>
      <c r="K292" s="218">
        <f t="shared" si="196"/>
        <v>30</v>
      </c>
      <c r="L292" s="218">
        <f t="shared" si="196"/>
        <v>30</v>
      </c>
      <c r="M292" s="218">
        <f t="shared" si="196"/>
        <v>30</v>
      </c>
      <c r="N292" s="218">
        <f t="shared" si="196"/>
        <v>30</v>
      </c>
      <c r="O292" s="218">
        <f t="shared" si="196"/>
        <v>30</v>
      </c>
      <c r="P292" s="218">
        <f t="shared" si="196"/>
        <v>30</v>
      </c>
    </row>
    <row r="293" spans="1:16" x14ac:dyDescent="0.2">
      <c r="A293" s="375" t="str">
        <f t="shared" si="194"/>
        <v>Средно време за път към и от площадката за разтоварване</v>
      </c>
      <c r="B293" s="210"/>
      <c r="C293" s="210"/>
      <c r="D293" s="356" t="s">
        <v>30</v>
      </c>
      <c r="E293" s="228">
        <f t="shared" ref="E293:P293" si="197">+E291*2/E292</f>
        <v>0.66666666666666663</v>
      </c>
      <c r="F293" s="228">
        <f t="shared" si="197"/>
        <v>0.66666666666666663</v>
      </c>
      <c r="G293" s="228">
        <f t="shared" si="197"/>
        <v>0.66666666666666663</v>
      </c>
      <c r="H293" s="228">
        <f t="shared" si="197"/>
        <v>0.66666666666666663</v>
      </c>
      <c r="I293" s="228">
        <f t="shared" si="197"/>
        <v>0.66666666666666663</v>
      </c>
      <c r="J293" s="228">
        <f t="shared" si="197"/>
        <v>0.66666666666666663</v>
      </c>
      <c r="K293" s="228">
        <f t="shared" si="197"/>
        <v>0.66666666666666663</v>
      </c>
      <c r="L293" s="228">
        <f t="shared" si="197"/>
        <v>0.66666666666666663</v>
      </c>
      <c r="M293" s="228">
        <f t="shared" si="197"/>
        <v>0.66666666666666663</v>
      </c>
      <c r="N293" s="228">
        <f t="shared" si="197"/>
        <v>0.66666666666666663</v>
      </c>
      <c r="O293" s="228">
        <f t="shared" si="197"/>
        <v>0.66666666666666663</v>
      </c>
      <c r="P293" s="228">
        <f t="shared" si="197"/>
        <v>0.66666666666666663</v>
      </c>
    </row>
    <row r="294" spans="1:16" s="373" customFormat="1" x14ac:dyDescent="0.2">
      <c r="A294" s="375" t="str">
        <f t="shared" si="194"/>
        <v>Средно време на площадката за разтоварване</v>
      </c>
      <c r="B294" s="375"/>
      <c r="C294" s="375"/>
      <c r="D294" s="356" t="s">
        <v>30</v>
      </c>
      <c r="E294" s="375">
        <f>E67</f>
        <v>0.5</v>
      </c>
      <c r="F294" s="376">
        <f t="shared" ref="F294:P294" si="198">E294</f>
        <v>0.5</v>
      </c>
      <c r="G294" s="376">
        <f t="shared" si="198"/>
        <v>0.5</v>
      </c>
      <c r="H294" s="376">
        <f t="shared" si="198"/>
        <v>0.5</v>
      </c>
      <c r="I294" s="376">
        <f t="shared" si="198"/>
        <v>0.5</v>
      </c>
      <c r="J294" s="376">
        <f t="shared" si="198"/>
        <v>0.5</v>
      </c>
      <c r="K294" s="376">
        <f t="shared" si="198"/>
        <v>0.5</v>
      </c>
      <c r="L294" s="376">
        <f t="shared" si="198"/>
        <v>0.5</v>
      </c>
      <c r="M294" s="376">
        <f t="shared" si="198"/>
        <v>0.5</v>
      </c>
      <c r="N294" s="376">
        <f t="shared" si="198"/>
        <v>0.5</v>
      </c>
      <c r="O294" s="376">
        <f t="shared" si="198"/>
        <v>0.5</v>
      </c>
      <c r="P294" s="376">
        <f t="shared" si="198"/>
        <v>0.5</v>
      </c>
    </row>
    <row r="295" spans="1:16" x14ac:dyDescent="0.2">
      <c r="A295" s="375" t="str">
        <f t="shared" si="194"/>
        <v>Общо време за пътуване/курс</v>
      </c>
      <c r="B295" s="210"/>
      <c r="C295" s="210"/>
      <c r="D295" s="356" t="s">
        <v>30</v>
      </c>
      <c r="E295" s="228">
        <f t="shared" ref="E295:P295" si="199">+E294+E293</f>
        <v>1.1666666666666665</v>
      </c>
      <c r="F295" s="228">
        <f t="shared" si="199"/>
        <v>1.1666666666666665</v>
      </c>
      <c r="G295" s="228">
        <f t="shared" si="199"/>
        <v>1.1666666666666665</v>
      </c>
      <c r="H295" s="228">
        <f t="shared" si="199"/>
        <v>1.1666666666666665</v>
      </c>
      <c r="I295" s="228">
        <f t="shared" si="199"/>
        <v>1.1666666666666665</v>
      </c>
      <c r="J295" s="228">
        <f t="shared" si="199"/>
        <v>1.1666666666666665</v>
      </c>
      <c r="K295" s="228">
        <f t="shared" si="199"/>
        <v>1.1666666666666665</v>
      </c>
      <c r="L295" s="228">
        <f t="shared" si="199"/>
        <v>1.1666666666666665</v>
      </c>
      <c r="M295" s="228">
        <f t="shared" si="199"/>
        <v>1.1666666666666665</v>
      </c>
      <c r="N295" s="228">
        <f t="shared" si="199"/>
        <v>1.1666666666666665</v>
      </c>
      <c r="O295" s="228">
        <f t="shared" si="199"/>
        <v>1.1666666666666665</v>
      </c>
      <c r="P295" s="228">
        <f t="shared" si="199"/>
        <v>1.1666666666666665</v>
      </c>
    </row>
    <row r="296" spans="1:16" x14ac:dyDescent="0.2">
      <c r="A296" s="375" t="str">
        <f t="shared" si="194"/>
        <v>Време за натоварване за един контейнер</v>
      </c>
      <c r="B296" s="210"/>
      <c r="C296" s="210"/>
      <c r="D296" s="356" t="s">
        <v>68</v>
      </c>
      <c r="E296" s="230">
        <f>Допускания!C57</f>
        <v>1.5</v>
      </c>
      <c r="F296" s="228">
        <f t="shared" ref="F296:P296" si="200">+E296</f>
        <v>1.5</v>
      </c>
      <c r="G296" s="228">
        <f t="shared" si="200"/>
        <v>1.5</v>
      </c>
      <c r="H296" s="228">
        <f t="shared" si="200"/>
        <v>1.5</v>
      </c>
      <c r="I296" s="228">
        <f t="shared" si="200"/>
        <v>1.5</v>
      </c>
      <c r="J296" s="228">
        <f t="shared" si="200"/>
        <v>1.5</v>
      </c>
      <c r="K296" s="228">
        <f t="shared" si="200"/>
        <v>1.5</v>
      </c>
      <c r="L296" s="228">
        <f t="shared" si="200"/>
        <v>1.5</v>
      </c>
      <c r="M296" s="228">
        <f t="shared" si="200"/>
        <v>1.5</v>
      </c>
      <c r="N296" s="228">
        <f t="shared" si="200"/>
        <v>1.5</v>
      </c>
      <c r="O296" s="228">
        <f t="shared" si="200"/>
        <v>1.5</v>
      </c>
      <c r="P296" s="228">
        <f t="shared" si="200"/>
        <v>1.5</v>
      </c>
    </row>
    <row r="297" spans="1:16" x14ac:dyDescent="0.2">
      <c r="A297" s="375" t="str">
        <f t="shared" si="194"/>
        <v>Средно количество отпадъци от вдигнат контейнер</v>
      </c>
      <c r="B297" s="210"/>
      <c r="C297" s="210"/>
      <c r="D297" s="356" t="s">
        <v>43</v>
      </c>
      <c r="E297" s="229">
        <f t="shared" ref="E297:P297" si="201">+E278</f>
        <v>7.5442425672487046E-2</v>
      </c>
      <c r="F297" s="229">
        <f t="shared" si="201"/>
        <v>7.5442425672487046E-2</v>
      </c>
      <c r="G297" s="229">
        <f t="shared" si="201"/>
        <v>7.5442425672487046E-2</v>
      </c>
      <c r="H297" s="229">
        <f t="shared" si="201"/>
        <v>7.5442425672487046E-2</v>
      </c>
      <c r="I297" s="229">
        <f t="shared" si="201"/>
        <v>7.5442425672487046E-2</v>
      </c>
      <c r="J297" s="229">
        <f t="shared" si="201"/>
        <v>7.5442425672487046E-2</v>
      </c>
      <c r="K297" s="229">
        <f t="shared" si="201"/>
        <v>7.5442425672487046E-2</v>
      </c>
      <c r="L297" s="229">
        <f t="shared" si="201"/>
        <v>7.5442425672487046E-2</v>
      </c>
      <c r="M297" s="229">
        <f t="shared" si="201"/>
        <v>7.5442425672487046E-2</v>
      </c>
      <c r="N297" s="229">
        <f t="shared" si="201"/>
        <v>7.5442425672487046E-2</v>
      </c>
      <c r="O297" s="229">
        <f t="shared" si="201"/>
        <v>7.5442425672487046E-2</v>
      </c>
      <c r="P297" s="229">
        <f t="shared" si="201"/>
        <v>7.5442425672487046E-2</v>
      </c>
    </row>
    <row r="298" spans="1:16" x14ac:dyDescent="0.2">
      <c r="A298" s="375" t="str">
        <f t="shared" si="194"/>
        <v>Товаримост на час</v>
      </c>
      <c r="B298" s="210"/>
      <c r="C298" s="210"/>
      <c r="D298" s="356" t="s">
        <v>70</v>
      </c>
      <c r="E298" s="228">
        <f>+E297*60/E296</f>
        <v>3.0176970268994818</v>
      </c>
      <c r="F298" s="228">
        <f t="shared" ref="F298:P298" si="202">+F297*60/F296</f>
        <v>3.0176970268994818</v>
      </c>
      <c r="G298" s="228">
        <f t="shared" si="202"/>
        <v>3.0176970268994818</v>
      </c>
      <c r="H298" s="228">
        <f t="shared" si="202"/>
        <v>3.0176970268994818</v>
      </c>
      <c r="I298" s="228">
        <f t="shared" si="202"/>
        <v>3.0176970268994818</v>
      </c>
      <c r="J298" s="228">
        <f t="shared" si="202"/>
        <v>3.0176970268994818</v>
      </c>
      <c r="K298" s="228">
        <f t="shared" si="202"/>
        <v>3.0176970268994818</v>
      </c>
      <c r="L298" s="228">
        <f t="shared" si="202"/>
        <v>3.0176970268994818</v>
      </c>
      <c r="M298" s="228">
        <f t="shared" si="202"/>
        <v>3.0176970268994818</v>
      </c>
      <c r="N298" s="228">
        <f t="shared" si="202"/>
        <v>3.0176970268994818</v>
      </c>
      <c r="O298" s="228">
        <f t="shared" si="202"/>
        <v>3.0176970268994818</v>
      </c>
      <c r="P298" s="228">
        <f t="shared" si="202"/>
        <v>3.0176970268994818</v>
      </c>
    </row>
    <row r="299" spans="1:16" x14ac:dyDescent="0.2">
      <c r="A299" s="375" t="str">
        <f t="shared" si="194"/>
        <v>Време за натоварване напълно на автомобила</v>
      </c>
      <c r="B299" s="210"/>
      <c r="C299" s="210"/>
      <c r="D299" s="356" t="s">
        <v>30</v>
      </c>
      <c r="E299" s="228">
        <f>IF(E298=0,0,+E287/E298)</f>
        <v>1.3520243959652822</v>
      </c>
      <c r="F299" s="228">
        <f t="shared" ref="F299:P299" si="203">IF(F298=0,0,+F287/F298)</f>
        <v>1.3520243959652822</v>
      </c>
      <c r="G299" s="228">
        <f t="shared" si="203"/>
        <v>1.3520243959652822</v>
      </c>
      <c r="H299" s="228">
        <f t="shared" si="203"/>
        <v>1.3520243959652822</v>
      </c>
      <c r="I299" s="228">
        <f t="shared" si="203"/>
        <v>1.3520243959652822</v>
      </c>
      <c r="J299" s="228">
        <f t="shared" si="203"/>
        <v>1.3520243959652822</v>
      </c>
      <c r="K299" s="228">
        <f t="shared" si="203"/>
        <v>1.3520243959652822</v>
      </c>
      <c r="L299" s="228">
        <f t="shared" si="203"/>
        <v>1.3520243959652822</v>
      </c>
      <c r="M299" s="228">
        <f t="shared" si="203"/>
        <v>1.3520243959652822</v>
      </c>
      <c r="N299" s="228">
        <f t="shared" si="203"/>
        <v>1.3520243959652822</v>
      </c>
      <c r="O299" s="228">
        <f t="shared" si="203"/>
        <v>1.3520243959652822</v>
      </c>
      <c r="P299" s="228">
        <f t="shared" si="203"/>
        <v>1.3520243959652822</v>
      </c>
    </row>
    <row r="300" spans="1:16" x14ac:dyDescent="0.2">
      <c r="A300" s="375" t="str">
        <f t="shared" si="194"/>
        <v>Време за натоварване напълно за първия курс</v>
      </c>
      <c r="B300" s="210"/>
      <c r="C300" s="210"/>
      <c r="D300" s="356" t="s">
        <v>30</v>
      </c>
      <c r="E300" s="228">
        <f t="shared" ref="E300:P300" si="204">IF(E297=0,0,IF(E287/E297*E296/60&gt;E256-E295,E256-E295,E287/E297*E296/60))</f>
        <v>1.3520243959652822</v>
      </c>
      <c r="F300" s="228">
        <f t="shared" si="204"/>
        <v>1.3520243959652822</v>
      </c>
      <c r="G300" s="228">
        <f t="shared" si="204"/>
        <v>1.3520243959652822</v>
      </c>
      <c r="H300" s="228">
        <f t="shared" si="204"/>
        <v>1.3520243959652822</v>
      </c>
      <c r="I300" s="228">
        <f t="shared" si="204"/>
        <v>1.3520243959652822</v>
      </c>
      <c r="J300" s="228">
        <f t="shared" si="204"/>
        <v>1.3520243959652822</v>
      </c>
      <c r="K300" s="228">
        <f t="shared" si="204"/>
        <v>1.3520243959652822</v>
      </c>
      <c r="L300" s="228">
        <f t="shared" si="204"/>
        <v>1.3520243959652822</v>
      </c>
      <c r="M300" s="228">
        <f t="shared" si="204"/>
        <v>1.3520243959652822</v>
      </c>
      <c r="N300" s="228">
        <f t="shared" si="204"/>
        <v>1.3520243959652822</v>
      </c>
      <c r="O300" s="228">
        <f t="shared" si="204"/>
        <v>1.3520243959652822</v>
      </c>
      <c r="P300" s="228">
        <f t="shared" si="204"/>
        <v>1.3520243959652822</v>
      </c>
    </row>
    <row r="301" spans="1:16" outlineLevel="1" x14ac:dyDescent="0.2">
      <c r="A301" s="375" t="str">
        <f t="shared" si="194"/>
        <v>Общо време за първия курс</v>
      </c>
      <c r="B301" s="210"/>
      <c r="C301" s="210"/>
      <c r="D301" s="356" t="s">
        <v>30</v>
      </c>
      <c r="E301" s="228">
        <f t="shared" ref="E301:P301" si="205">+E300+E295</f>
        <v>2.518691062631949</v>
      </c>
      <c r="F301" s="228">
        <f t="shared" si="205"/>
        <v>2.518691062631949</v>
      </c>
      <c r="G301" s="228">
        <f t="shared" si="205"/>
        <v>2.518691062631949</v>
      </c>
      <c r="H301" s="228">
        <f t="shared" si="205"/>
        <v>2.518691062631949</v>
      </c>
      <c r="I301" s="228">
        <f t="shared" si="205"/>
        <v>2.518691062631949</v>
      </c>
      <c r="J301" s="228">
        <f t="shared" si="205"/>
        <v>2.518691062631949</v>
      </c>
      <c r="K301" s="228">
        <f t="shared" si="205"/>
        <v>2.518691062631949</v>
      </c>
      <c r="L301" s="228">
        <f t="shared" si="205"/>
        <v>2.518691062631949</v>
      </c>
      <c r="M301" s="228">
        <f t="shared" si="205"/>
        <v>2.518691062631949</v>
      </c>
      <c r="N301" s="228">
        <f t="shared" si="205"/>
        <v>2.518691062631949</v>
      </c>
      <c r="O301" s="228">
        <f t="shared" si="205"/>
        <v>2.518691062631949</v>
      </c>
      <c r="P301" s="228">
        <f t="shared" si="205"/>
        <v>2.518691062631949</v>
      </c>
    </row>
    <row r="302" spans="1:16" x14ac:dyDescent="0.2">
      <c r="A302" s="375" t="str">
        <f t="shared" si="194"/>
        <v>Буферно време</v>
      </c>
      <c r="B302" s="210">
        <f>B75</f>
        <v>0.5</v>
      </c>
      <c r="C302" s="210" t="s">
        <v>30</v>
      </c>
      <c r="D302" s="356" t="s">
        <v>30</v>
      </c>
      <c r="E302" s="227">
        <f>B302</f>
        <v>0.5</v>
      </c>
      <c r="F302" s="227">
        <f t="shared" ref="F302:P302" si="206">+E302</f>
        <v>0.5</v>
      </c>
      <c r="G302" s="227">
        <f t="shared" si="206"/>
        <v>0.5</v>
      </c>
      <c r="H302" s="227">
        <f t="shared" si="206"/>
        <v>0.5</v>
      </c>
      <c r="I302" s="227">
        <f t="shared" si="206"/>
        <v>0.5</v>
      </c>
      <c r="J302" s="227">
        <f t="shared" si="206"/>
        <v>0.5</v>
      </c>
      <c r="K302" s="227">
        <f t="shared" si="206"/>
        <v>0.5</v>
      </c>
      <c r="L302" s="227">
        <f t="shared" si="206"/>
        <v>0.5</v>
      </c>
      <c r="M302" s="227">
        <f t="shared" si="206"/>
        <v>0.5</v>
      </c>
      <c r="N302" s="227">
        <f t="shared" si="206"/>
        <v>0.5</v>
      </c>
      <c r="O302" s="227">
        <f t="shared" si="206"/>
        <v>0.5</v>
      </c>
      <c r="P302" s="227">
        <f t="shared" si="206"/>
        <v>0.5</v>
      </c>
    </row>
    <row r="303" spans="1:16" x14ac:dyDescent="0.2">
      <c r="A303" s="375" t="str">
        <f t="shared" si="194"/>
        <v>Остатъчно време за втори курс</v>
      </c>
      <c r="B303" s="210"/>
      <c r="C303" s="210"/>
      <c r="D303" s="356" t="s">
        <v>30</v>
      </c>
      <c r="E303" s="230">
        <f t="shared" ref="E303:P303" si="207">+E256*E257-E301</f>
        <v>5.481308937368051</v>
      </c>
      <c r="F303" s="230">
        <f t="shared" si="207"/>
        <v>5.481308937368051</v>
      </c>
      <c r="G303" s="230">
        <f t="shared" si="207"/>
        <v>5.481308937368051</v>
      </c>
      <c r="H303" s="230">
        <f t="shared" si="207"/>
        <v>5.481308937368051</v>
      </c>
      <c r="I303" s="230">
        <f t="shared" si="207"/>
        <v>5.481308937368051</v>
      </c>
      <c r="J303" s="230">
        <f t="shared" si="207"/>
        <v>5.481308937368051</v>
      </c>
      <c r="K303" s="230">
        <f t="shared" si="207"/>
        <v>5.481308937368051</v>
      </c>
      <c r="L303" s="230">
        <f t="shared" si="207"/>
        <v>5.481308937368051</v>
      </c>
      <c r="M303" s="230">
        <f t="shared" si="207"/>
        <v>5.481308937368051</v>
      </c>
      <c r="N303" s="230">
        <f t="shared" si="207"/>
        <v>5.481308937368051</v>
      </c>
      <c r="O303" s="230">
        <f t="shared" si="207"/>
        <v>5.481308937368051</v>
      </c>
      <c r="P303" s="230">
        <f t="shared" si="207"/>
        <v>5.481308937368051</v>
      </c>
    </row>
    <row r="304" spans="1:16" x14ac:dyDescent="0.2">
      <c r="A304" s="375" t="str">
        <f t="shared" si="194"/>
        <v>Време за натоварване ако остава такова</v>
      </c>
      <c r="B304" s="210"/>
      <c r="C304" s="210"/>
      <c r="D304" s="356" t="s">
        <v>30</v>
      </c>
      <c r="E304" s="230">
        <f t="shared" ref="E304:P304" si="208">+IF(E303-E295&gt;E302,IF(E303-E295&gt;E300,E300,E303-E295),0)</f>
        <v>1.3520243959652822</v>
      </c>
      <c r="F304" s="230">
        <f t="shared" si="208"/>
        <v>1.3520243959652822</v>
      </c>
      <c r="G304" s="230">
        <f t="shared" si="208"/>
        <v>1.3520243959652822</v>
      </c>
      <c r="H304" s="230">
        <f t="shared" si="208"/>
        <v>1.3520243959652822</v>
      </c>
      <c r="I304" s="230">
        <f t="shared" si="208"/>
        <v>1.3520243959652822</v>
      </c>
      <c r="J304" s="230">
        <f t="shared" si="208"/>
        <v>1.3520243959652822</v>
      </c>
      <c r="K304" s="230">
        <f t="shared" si="208"/>
        <v>1.3520243959652822</v>
      </c>
      <c r="L304" s="230">
        <f t="shared" si="208"/>
        <v>1.3520243959652822</v>
      </c>
      <c r="M304" s="230">
        <f t="shared" si="208"/>
        <v>1.3520243959652822</v>
      </c>
      <c r="N304" s="230">
        <f t="shared" si="208"/>
        <v>1.3520243959652822</v>
      </c>
      <c r="O304" s="230">
        <f t="shared" si="208"/>
        <v>1.3520243959652822</v>
      </c>
      <c r="P304" s="230">
        <f t="shared" si="208"/>
        <v>1.3520243959652822</v>
      </c>
    </row>
    <row r="305" spans="1:16" x14ac:dyDescent="0.2">
      <c r="A305" s="375" t="str">
        <f t="shared" si="194"/>
        <v>Остатъчно време за трети курс</v>
      </c>
      <c r="B305" s="210"/>
      <c r="C305" s="210"/>
      <c r="D305" s="356" t="s">
        <v>30</v>
      </c>
      <c r="E305" s="230">
        <f t="shared" ref="E305:P305" si="209">+IF(E304&gt;0,E303-E304-E295,0)</f>
        <v>2.9626178747361025</v>
      </c>
      <c r="F305" s="230">
        <f t="shared" si="209"/>
        <v>2.9626178747361025</v>
      </c>
      <c r="G305" s="230">
        <f t="shared" si="209"/>
        <v>2.9626178747361025</v>
      </c>
      <c r="H305" s="230">
        <f t="shared" si="209"/>
        <v>2.9626178747361025</v>
      </c>
      <c r="I305" s="230">
        <f t="shared" si="209"/>
        <v>2.9626178747361025</v>
      </c>
      <c r="J305" s="230">
        <f t="shared" si="209"/>
        <v>2.9626178747361025</v>
      </c>
      <c r="K305" s="230">
        <f t="shared" si="209"/>
        <v>2.9626178747361025</v>
      </c>
      <c r="L305" s="230">
        <f t="shared" si="209"/>
        <v>2.9626178747361025</v>
      </c>
      <c r="M305" s="230">
        <f t="shared" si="209"/>
        <v>2.9626178747361025</v>
      </c>
      <c r="N305" s="230">
        <f t="shared" si="209"/>
        <v>2.9626178747361025</v>
      </c>
      <c r="O305" s="230">
        <f t="shared" si="209"/>
        <v>2.9626178747361025</v>
      </c>
      <c r="P305" s="230">
        <f t="shared" si="209"/>
        <v>2.9626178747361025</v>
      </c>
    </row>
    <row r="306" spans="1:16" x14ac:dyDescent="0.2">
      <c r="A306" s="375" t="str">
        <f t="shared" si="194"/>
        <v>Време за натоварване ако остава такова</v>
      </c>
      <c r="B306" s="210"/>
      <c r="C306" s="210"/>
      <c r="D306" s="356" t="s">
        <v>30</v>
      </c>
      <c r="E306" s="230">
        <f t="shared" ref="E306:P306" si="210">+IF(E305-E295&gt;E302,IF(E305-E295&gt;E300,E300,E305-E295),0)</f>
        <v>1.3520243959652822</v>
      </c>
      <c r="F306" s="230">
        <f t="shared" si="210"/>
        <v>1.3520243959652822</v>
      </c>
      <c r="G306" s="230">
        <f t="shared" si="210"/>
        <v>1.3520243959652822</v>
      </c>
      <c r="H306" s="230">
        <f t="shared" si="210"/>
        <v>1.3520243959652822</v>
      </c>
      <c r="I306" s="230">
        <f t="shared" si="210"/>
        <v>1.3520243959652822</v>
      </c>
      <c r="J306" s="230">
        <f t="shared" si="210"/>
        <v>1.3520243959652822</v>
      </c>
      <c r="K306" s="230">
        <f t="shared" si="210"/>
        <v>1.3520243959652822</v>
      </c>
      <c r="L306" s="230">
        <f t="shared" si="210"/>
        <v>1.3520243959652822</v>
      </c>
      <c r="M306" s="230">
        <f t="shared" si="210"/>
        <v>1.3520243959652822</v>
      </c>
      <c r="N306" s="230">
        <f t="shared" si="210"/>
        <v>1.3520243959652822</v>
      </c>
      <c r="O306" s="230">
        <f t="shared" si="210"/>
        <v>1.3520243959652822</v>
      </c>
      <c r="P306" s="230">
        <f t="shared" si="210"/>
        <v>1.3520243959652822</v>
      </c>
    </row>
    <row r="307" spans="1:16" x14ac:dyDescent="0.2">
      <c r="A307" s="375" t="str">
        <f t="shared" si="194"/>
        <v>Остатъчно време за четвърти курс</v>
      </c>
      <c r="B307" s="210"/>
      <c r="C307" s="210"/>
      <c r="D307" s="356" t="s">
        <v>30</v>
      </c>
      <c r="E307" s="230">
        <f t="shared" ref="E307:P307" si="211">+IF(E306&gt;0,E305-E306-E295,0)</f>
        <v>0.44392681210415375</v>
      </c>
      <c r="F307" s="230">
        <f t="shared" si="211"/>
        <v>0.44392681210415375</v>
      </c>
      <c r="G307" s="230">
        <f t="shared" si="211"/>
        <v>0.44392681210415375</v>
      </c>
      <c r="H307" s="230">
        <f t="shared" si="211"/>
        <v>0.44392681210415375</v>
      </c>
      <c r="I307" s="230">
        <f t="shared" si="211"/>
        <v>0.44392681210415375</v>
      </c>
      <c r="J307" s="230">
        <f t="shared" si="211"/>
        <v>0.44392681210415375</v>
      </c>
      <c r="K307" s="230">
        <f t="shared" si="211"/>
        <v>0.44392681210415375</v>
      </c>
      <c r="L307" s="230">
        <f t="shared" si="211"/>
        <v>0.44392681210415375</v>
      </c>
      <c r="M307" s="230">
        <f t="shared" si="211"/>
        <v>0.44392681210415375</v>
      </c>
      <c r="N307" s="230">
        <f t="shared" si="211"/>
        <v>0.44392681210415375</v>
      </c>
      <c r="O307" s="230">
        <f t="shared" si="211"/>
        <v>0.44392681210415375</v>
      </c>
      <c r="P307" s="230">
        <f t="shared" si="211"/>
        <v>0.44392681210415375</v>
      </c>
    </row>
    <row r="308" spans="1:16" x14ac:dyDescent="0.2">
      <c r="A308" s="375" t="str">
        <f t="shared" si="194"/>
        <v>Време за натоварване ако остава такова</v>
      </c>
      <c r="B308" s="210"/>
      <c r="C308" s="210"/>
      <c r="D308" s="356" t="s">
        <v>30</v>
      </c>
      <c r="E308" s="230">
        <f t="shared" ref="E308:P308" si="212">+IF(E307-E295&gt;E302,IF(E307-E295&gt;E300,E300,E307-E295),0)</f>
        <v>0</v>
      </c>
      <c r="F308" s="230">
        <f t="shared" si="212"/>
        <v>0</v>
      </c>
      <c r="G308" s="230">
        <f t="shared" si="212"/>
        <v>0</v>
      </c>
      <c r="H308" s="230">
        <f t="shared" si="212"/>
        <v>0</v>
      </c>
      <c r="I308" s="230">
        <f t="shared" si="212"/>
        <v>0</v>
      </c>
      <c r="J308" s="230">
        <f t="shared" si="212"/>
        <v>0</v>
      </c>
      <c r="K308" s="230">
        <f t="shared" si="212"/>
        <v>0</v>
      </c>
      <c r="L308" s="230">
        <f t="shared" si="212"/>
        <v>0</v>
      </c>
      <c r="M308" s="230">
        <f t="shared" si="212"/>
        <v>0</v>
      </c>
      <c r="N308" s="230">
        <f t="shared" si="212"/>
        <v>0</v>
      </c>
      <c r="O308" s="230">
        <f t="shared" si="212"/>
        <v>0</v>
      </c>
      <c r="P308" s="230">
        <f t="shared" si="212"/>
        <v>0</v>
      </c>
    </row>
    <row r="309" spans="1:16" x14ac:dyDescent="0.2">
      <c r="A309" s="375" t="str">
        <f t="shared" si="194"/>
        <v>Остатъчно време за пети курс</v>
      </c>
      <c r="B309" s="210"/>
      <c r="C309" s="210"/>
      <c r="D309" s="356" t="s">
        <v>30</v>
      </c>
      <c r="E309" s="230">
        <f t="shared" ref="E309:P309" si="213">+IF(E308&gt;0,E307-E308-E295,0)</f>
        <v>0</v>
      </c>
      <c r="F309" s="230">
        <f t="shared" si="213"/>
        <v>0</v>
      </c>
      <c r="G309" s="230">
        <f t="shared" si="213"/>
        <v>0</v>
      </c>
      <c r="H309" s="230">
        <f t="shared" si="213"/>
        <v>0</v>
      </c>
      <c r="I309" s="230">
        <f t="shared" si="213"/>
        <v>0</v>
      </c>
      <c r="J309" s="230">
        <f t="shared" si="213"/>
        <v>0</v>
      </c>
      <c r="K309" s="230">
        <f t="shared" si="213"/>
        <v>0</v>
      </c>
      <c r="L309" s="230">
        <f t="shared" si="213"/>
        <v>0</v>
      </c>
      <c r="M309" s="230">
        <f t="shared" si="213"/>
        <v>0</v>
      </c>
      <c r="N309" s="230">
        <f t="shared" si="213"/>
        <v>0</v>
      </c>
      <c r="O309" s="230">
        <f t="shared" si="213"/>
        <v>0</v>
      </c>
      <c r="P309" s="230">
        <f t="shared" si="213"/>
        <v>0</v>
      </c>
    </row>
    <row r="310" spans="1:16" x14ac:dyDescent="0.2">
      <c r="A310" s="375" t="str">
        <f t="shared" si="194"/>
        <v>Време за натоварване ако остава такова</v>
      </c>
      <c r="B310" s="210"/>
      <c r="C310" s="210"/>
      <c r="D310" s="356" t="s">
        <v>30</v>
      </c>
      <c r="E310" s="230">
        <f t="shared" ref="E310:P310" si="214">+IF(E309-E295&gt;E302,IF(E309-E295&gt;E300,E300,E309-E295),0)</f>
        <v>0</v>
      </c>
      <c r="F310" s="230">
        <f t="shared" si="214"/>
        <v>0</v>
      </c>
      <c r="G310" s="230">
        <f t="shared" si="214"/>
        <v>0</v>
      </c>
      <c r="H310" s="230">
        <f t="shared" si="214"/>
        <v>0</v>
      </c>
      <c r="I310" s="230">
        <f t="shared" si="214"/>
        <v>0</v>
      </c>
      <c r="J310" s="230">
        <f t="shared" si="214"/>
        <v>0</v>
      </c>
      <c r="K310" s="230">
        <f t="shared" si="214"/>
        <v>0</v>
      </c>
      <c r="L310" s="230">
        <f t="shared" si="214"/>
        <v>0</v>
      </c>
      <c r="M310" s="230">
        <f t="shared" si="214"/>
        <v>0</v>
      </c>
      <c r="N310" s="230">
        <f t="shared" si="214"/>
        <v>0</v>
      </c>
      <c r="O310" s="230">
        <f t="shared" si="214"/>
        <v>0</v>
      </c>
      <c r="P310" s="230">
        <f t="shared" si="214"/>
        <v>0</v>
      </c>
    </row>
    <row r="311" spans="1:16" x14ac:dyDescent="0.2">
      <c r="A311" s="375"/>
      <c r="B311" s="210"/>
      <c r="C311" s="210"/>
      <c r="D311" s="356"/>
      <c r="E311" s="228"/>
      <c r="F311" s="228"/>
      <c r="G311" s="228"/>
      <c r="H311" s="228"/>
      <c r="I311" s="228"/>
      <c r="J311" s="228"/>
      <c r="K311" s="228"/>
      <c r="L311" s="228"/>
      <c r="M311" s="228"/>
      <c r="N311" s="228"/>
      <c r="O311" s="228"/>
      <c r="P311" s="228"/>
    </row>
    <row r="312" spans="1:16" x14ac:dyDescent="0.2">
      <c r="A312" s="375" t="str">
        <f t="shared" si="194"/>
        <v>Среден брой курсове дневно</v>
      </c>
      <c r="B312" s="210"/>
      <c r="C312" s="210"/>
      <c r="D312" s="356" t="s">
        <v>81</v>
      </c>
      <c r="E312" s="228">
        <f>IF(E299=0,0,+(E310+E308+E306+E304+E300)/E299)</f>
        <v>3</v>
      </c>
      <c r="F312" s="228">
        <f t="shared" ref="F312:P312" si="215">IF(F299=0,0,+(F310+F308+F306+F304+F300)/F299)</f>
        <v>3</v>
      </c>
      <c r="G312" s="228">
        <f t="shared" si="215"/>
        <v>3</v>
      </c>
      <c r="H312" s="228">
        <f t="shared" si="215"/>
        <v>3</v>
      </c>
      <c r="I312" s="228">
        <f t="shared" si="215"/>
        <v>3</v>
      </c>
      <c r="J312" s="228">
        <f t="shared" si="215"/>
        <v>3</v>
      </c>
      <c r="K312" s="228">
        <f t="shared" si="215"/>
        <v>3</v>
      </c>
      <c r="L312" s="228">
        <f t="shared" si="215"/>
        <v>3</v>
      </c>
      <c r="M312" s="228">
        <f t="shared" si="215"/>
        <v>3</v>
      </c>
      <c r="N312" s="228">
        <f t="shared" si="215"/>
        <v>3</v>
      </c>
      <c r="O312" s="228">
        <f t="shared" si="215"/>
        <v>3</v>
      </c>
      <c r="P312" s="228">
        <f t="shared" si="215"/>
        <v>3</v>
      </c>
    </row>
    <row r="313" spans="1:16" x14ac:dyDescent="0.2">
      <c r="A313" s="375" t="str">
        <f t="shared" si="194"/>
        <v>Средно количество събрани отпадъци дневно</v>
      </c>
      <c r="B313" s="210"/>
      <c r="C313" s="210"/>
      <c r="D313" s="356" t="s">
        <v>82</v>
      </c>
      <c r="E313" s="228">
        <f t="shared" ref="E313:P313" si="216">+E312*E287</f>
        <v>12.24</v>
      </c>
      <c r="F313" s="228">
        <f t="shared" si="216"/>
        <v>12.24</v>
      </c>
      <c r="G313" s="228">
        <f t="shared" si="216"/>
        <v>12.24</v>
      </c>
      <c r="H313" s="228">
        <f t="shared" si="216"/>
        <v>12.24</v>
      </c>
      <c r="I313" s="228">
        <f t="shared" si="216"/>
        <v>12.24</v>
      </c>
      <c r="J313" s="228">
        <f t="shared" si="216"/>
        <v>12.24</v>
      </c>
      <c r="K313" s="228">
        <f t="shared" si="216"/>
        <v>12.24</v>
      </c>
      <c r="L313" s="228">
        <f t="shared" si="216"/>
        <v>12.24</v>
      </c>
      <c r="M313" s="228">
        <f t="shared" si="216"/>
        <v>12.24</v>
      </c>
      <c r="N313" s="228">
        <f t="shared" si="216"/>
        <v>12.24</v>
      </c>
      <c r="O313" s="228">
        <f t="shared" si="216"/>
        <v>12.24</v>
      </c>
      <c r="P313" s="228">
        <f t="shared" si="216"/>
        <v>12.24</v>
      </c>
    </row>
    <row r="314" spans="1:16" x14ac:dyDescent="0.2">
      <c r="A314" s="210"/>
      <c r="B314" s="210"/>
      <c r="C314" s="210"/>
      <c r="D314" s="356"/>
      <c r="E314" s="219"/>
      <c r="F314" s="219"/>
      <c r="G314" s="219"/>
      <c r="H314" s="219"/>
      <c r="I314" s="219"/>
      <c r="J314" s="219"/>
      <c r="K314" s="219"/>
      <c r="L314" s="219"/>
      <c r="M314" s="219"/>
      <c r="N314" s="219"/>
      <c r="O314" s="219"/>
      <c r="P314" s="219"/>
    </row>
    <row r="315" spans="1:16" ht="13.5" customHeight="1" x14ac:dyDescent="0.2">
      <c r="A315" s="208" t="s">
        <v>52</v>
      </c>
      <c r="B315" s="208"/>
      <c r="C315" s="208"/>
      <c r="D315" s="356"/>
      <c r="E315" s="213"/>
      <c r="F315" s="213"/>
      <c r="G315" s="213"/>
      <c r="H315" s="213"/>
      <c r="I315" s="213"/>
      <c r="J315" s="213"/>
      <c r="K315" s="213"/>
      <c r="L315" s="211"/>
      <c r="M315" s="211"/>
      <c r="N315" s="211"/>
      <c r="O315" s="211"/>
      <c r="P315" s="210"/>
    </row>
    <row r="316" spans="1:16" x14ac:dyDescent="0.2">
      <c r="A316" s="375" t="str">
        <f>A89</f>
        <v>Необходими автомобили за събиране, включително резерви</v>
      </c>
      <c r="B316" s="210"/>
      <c r="C316" s="210"/>
      <c r="D316" s="356" t="s">
        <v>84</v>
      </c>
      <c r="E316" s="227">
        <f t="shared" ref="E316:P316" si="217">E317/E288</f>
        <v>0.945568272557892</v>
      </c>
      <c r="F316" s="227">
        <f t="shared" si="217"/>
        <v>0.945568272557892</v>
      </c>
      <c r="G316" s="227">
        <f t="shared" si="217"/>
        <v>0.945568272557892</v>
      </c>
      <c r="H316" s="227">
        <f t="shared" si="217"/>
        <v>0.945568272557892</v>
      </c>
      <c r="I316" s="227">
        <f t="shared" si="217"/>
        <v>0.945568272557892</v>
      </c>
      <c r="J316" s="227">
        <f t="shared" si="217"/>
        <v>0.945568272557892</v>
      </c>
      <c r="K316" s="227">
        <f t="shared" si="217"/>
        <v>0.945568272557892</v>
      </c>
      <c r="L316" s="227">
        <f t="shared" si="217"/>
        <v>0.945568272557892</v>
      </c>
      <c r="M316" s="227">
        <f t="shared" si="217"/>
        <v>0.945568272557892</v>
      </c>
      <c r="N316" s="227">
        <f t="shared" si="217"/>
        <v>0.945568272557892</v>
      </c>
      <c r="O316" s="227">
        <f t="shared" si="217"/>
        <v>0.945568272557892</v>
      </c>
      <c r="P316" s="227">
        <f t="shared" si="217"/>
        <v>0.945568272557892</v>
      </c>
    </row>
    <row r="317" spans="1:16" x14ac:dyDescent="0.2">
      <c r="A317" s="375" t="str">
        <f>A90</f>
        <v>Автомобили за събиране в действие</v>
      </c>
      <c r="B317" s="208"/>
      <c r="C317" s="208"/>
      <c r="D317" s="356" t="s">
        <v>84</v>
      </c>
      <c r="E317" s="227">
        <f t="shared" ref="E317:P317" si="218">IF(E313=0,0,E248/E265/E313)</f>
        <v>0.80373303167420818</v>
      </c>
      <c r="F317" s="227">
        <f t="shared" si="218"/>
        <v>0.80373303167420818</v>
      </c>
      <c r="G317" s="227">
        <f t="shared" si="218"/>
        <v>0.80373303167420818</v>
      </c>
      <c r="H317" s="227">
        <f t="shared" si="218"/>
        <v>0.80373303167420818</v>
      </c>
      <c r="I317" s="227">
        <f t="shared" si="218"/>
        <v>0.80373303167420818</v>
      </c>
      <c r="J317" s="227">
        <f t="shared" si="218"/>
        <v>0.80373303167420818</v>
      </c>
      <c r="K317" s="227">
        <f t="shared" si="218"/>
        <v>0.80373303167420818</v>
      </c>
      <c r="L317" s="227">
        <f t="shared" si="218"/>
        <v>0.80373303167420818</v>
      </c>
      <c r="M317" s="227">
        <f t="shared" si="218"/>
        <v>0.80373303167420818</v>
      </c>
      <c r="N317" s="227">
        <f t="shared" si="218"/>
        <v>0.80373303167420818</v>
      </c>
      <c r="O317" s="227">
        <f t="shared" si="218"/>
        <v>0.80373303167420818</v>
      </c>
      <c r="P317" s="227">
        <f t="shared" si="218"/>
        <v>0.80373303167420818</v>
      </c>
    </row>
    <row r="318" spans="1:16" x14ac:dyDescent="0.2">
      <c r="A318" s="375" t="str">
        <f>A91</f>
        <v>Необходим брой нови автомобили за събиране</v>
      </c>
      <c r="B318" s="231"/>
      <c r="C318" s="210"/>
      <c r="D318" s="356" t="s">
        <v>84</v>
      </c>
      <c r="E318" s="232">
        <f t="shared" ref="E318:P318" si="219">+ROUNDUP(E316,1)</f>
        <v>1</v>
      </c>
      <c r="F318" s="232">
        <f t="shared" si="219"/>
        <v>1</v>
      </c>
      <c r="G318" s="232">
        <f t="shared" si="219"/>
        <v>1</v>
      </c>
      <c r="H318" s="232">
        <f t="shared" si="219"/>
        <v>1</v>
      </c>
      <c r="I318" s="232">
        <f t="shared" si="219"/>
        <v>1</v>
      </c>
      <c r="J318" s="232">
        <f t="shared" si="219"/>
        <v>1</v>
      </c>
      <c r="K318" s="232">
        <f t="shared" si="219"/>
        <v>1</v>
      </c>
      <c r="L318" s="232">
        <f t="shared" si="219"/>
        <v>1</v>
      </c>
      <c r="M318" s="232">
        <f t="shared" si="219"/>
        <v>1</v>
      </c>
      <c r="N318" s="232">
        <f t="shared" si="219"/>
        <v>1</v>
      </c>
      <c r="O318" s="232">
        <f t="shared" si="219"/>
        <v>1</v>
      </c>
      <c r="P318" s="232">
        <f t="shared" si="219"/>
        <v>1</v>
      </c>
    </row>
    <row r="319" spans="1:16" x14ac:dyDescent="0.2">
      <c r="D319" s="359"/>
      <c r="E319" s="88"/>
      <c r="F319" s="88"/>
      <c r="G319" s="88"/>
      <c r="H319" s="88"/>
      <c r="I319" s="88"/>
      <c r="J319" s="88"/>
      <c r="K319" s="88"/>
      <c r="L319" s="88"/>
      <c r="M319" s="88"/>
      <c r="N319" s="88"/>
      <c r="O319" s="88"/>
      <c r="P319" s="88"/>
    </row>
    <row r="320" spans="1:16" ht="18.75" x14ac:dyDescent="0.3">
      <c r="A320" s="355" t="s">
        <v>220</v>
      </c>
      <c r="B320" s="355" t="str">
        <f>'Изходни данни'!A6</f>
        <v>големи населени места (повече от 3000 жители)</v>
      </c>
      <c r="C320" s="233"/>
      <c r="D320" s="363"/>
      <c r="E320" s="234"/>
      <c r="F320" s="234"/>
      <c r="G320" s="234"/>
      <c r="H320" s="234"/>
      <c r="I320" s="234"/>
      <c r="J320" s="234"/>
      <c r="K320" s="234"/>
      <c r="L320" s="233"/>
      <c r="M320" s="233"/>
      <c r="N320" s="233"/>
      <c r="O320" s="233"/>
      <c r="P320" s="233"/>
    </row>
    <row r="321" spans="1:16" x14ac:dyDescent="0.2">
      <c r="D321" s="359"/>
      <c r="L321" s="83"/>
      <c r="M321" s="83"/>
      <c r="N321" s="83"/>
      <c r="O321" s="83"/>
      <c r="P321" s="83"/>
    </row>
    <row r="322" spans="1:16" x14ac:dyDescent="0.2">
      <c r="A322" s="369" t="str">
        <f>A19</f>
        <v>Обслужвано население</v>
      </c>
      <c r="B322" s="235"/>
      <c r="C322" s="235"/>
      <c r="D322" s="364"/>
      <c r="E322" s="237">
        <f t="shared" ref="E322:P322" si="220">E9</f>
        <v>25000</v>
      </c>
      <c r="F322" s="237">
        <f t="shared" si="220"/>
        <v>25000</v>
      </c>
      <c r="G322" s="237">
        <f t="shared" si="220"/>
        <v>25000</v>
      </c>
      <c r="H322" s="237">
        <f t="shared" si="220"/>
        <v>25000</v>
      </c>
      <c r="I322" s="237">
        <f t="shared" si="220"/>
        <v>25000</v>
      </c>
      <c r="J322" s="237">
        <f t="shared" si="220"/>
        <v>25000</v>
      </c>
      <c r="K322" s="237">
        <f t="shared" si="220"/>
        <v>25000</v>
      </c>
      <c r="L322" s="237">
        <f t="shared" si="220"/>
        <v>25000</v>
      </c>
      <c r="M322" s="237">
        <f t="shared" si="220"/>
        <v>25000</v>
      </c>
      <c r="N322" s="237">
        <f t="shared" si="220"/>
        <v>25000</v>
      </c>
      <c r="O322" s="237">
        <f t="shared" si="220"/>
        <v>25000</v>
      </c>
      <c r="P322" s="237">
        <f t="shared" si="220"/>
        <v>25000</v>
      </c>
    </row>
    <row r="323" spans="1:16" x14ac:dyDescent="0.2">
      <c r="A323" s="235"/>
      <c r="B323" s="235"/>
      <c r="C323" s="235"/>
      <c r="D323" s="357"/>
      <c r="E323" s="238"/>
      <c r="F323" s="238"/>
      <c r="G323" s="238"/>
      <c r="H323" s="238"/>
      <c r="I323" s="238"/>
      <c r="J323" s="238"/>
      <c r="K323" s="238"/>
      <c r="L323" s="238"/>
      <c r="M323" s="238"/>
      <c r="N323" s="238"/>
      <c r="O323" s="238"/>
      <c r="P323" s="238"/>
    </row>
    <row r="324" spans="1:16" x14ac:dyDescent="0.2">
      <c r="A324" s="239" t="s">
        <v>21</v>
      </c>
      <c r="B324" s="239"/>
      <c r="C324" s="239"/>
      <c r="D324" s="357" t="s">
        <v>22</v>
      </c>
      <c r="E324" s="237">
        <f t="shared" ref="E324:P324" si="221">E325+E326+E327</f>
        <v>1271.9109375000003</v>
      </c>
      <c r="F324" s="237">
        <f t="shared" si="221"/>
        <v>1271.9109375000003</v>
      </c>
      <c r="G324" s="237">
        <f t="shared" si="221"/>
        <v>1271.9109375000003</v>
      </c>
      <c r="H324" s="237">
        <f t="shared" si="221"/>
        <v>1271.9109375000003</v>
      </c>
      <c r="I324" s="237">
        <f t="shared" si="221"/>
        <v>1271.9109375000003</v>
      </c>
      <c r="J324" s="237">
        <f t="shared" si="221"/>
        <v>1271.9109375000003</v>
      </c>
      <c r="K324" s="237">
        <f t="shared" si="221"/>
        <v>1271.9109375000003</v>
      </c>
      <c r="L324" s="237">
        <f t="shared" si="221"/>
        <v>1271.9109375000003</v>
      </c>
      <c r="M324" s="237">
        <f t="shared" si="221"/>
        <v>1271.9109375000003</v>
      </c>
      <c r="N324" s="237">
        <f t="shared" si="221"/>
        <v>1271.9109375000003</v>
      </c>
      <c r="O324" s="237">
        <f t="shared" si="221"/>
        <v>1271.9109375000003</v>
      </c>
      <c r="P324" s="237">
        <f t="shared" si="221"/>
        <v>1271.9109375000003</v>
      </c>
    </row>
    <row r="325" spans="1:16" x14ac:dyDescent="0.2">
      <c r="A325" s="370" t="str">
        <f>A22</f>
        <v>Отпадъци от домакинствата</v>
      </c>
      <c r="B325" s="235"/>
      <c r="C325" s="235"/>
      <c r="D325" s="357" t="s">
        <v>24</v>
      </c>
      <c r="E325" s="236">
        <f>'Масов баланс'!E328+'Масов баланс'!E330+'Масов баланс'!E331+'Масов баланс'!E333+'Масов баланс'!E334</f>
        <v>760.15625000000011</v>
      </c>
      <c r="F325" s="236">
        <f>'Масов баланс'!F328+'Масов баланс'!F330+'Масов баланс'!F331+'Масов баланс'!F333+'Масов баланс'!F334</f>
        <v>760.15625000000011</v>
      </c>
      <c r="G325" s="236">
        <f>'Масов баланс'!G328+'Масов баланс'!G330+'Масов баланс'!G331+'Масов баланс'!G333+'Масов баланс'!G334</f>
        <v>760.15625000000011</v>
      </c>
      <c r="H325" s="236">
        <f>'Масов баланс'!H328+'Масов баланс'!H330+'Масов баланс'!H331+'Масов баланс'!H333+'Масов баланс'!H334</f>
        <v>760.15625000000011</v>
      </c>
      <c r="I325" s="236">
        <f>'Масов баланс'!I328+'Масов баланс'!I330+'Масов баланс'!I331+'Масов баланс'!I333+'Масов баланс'!I334</f>
        <v>760.15625000000011</v>
      </c>
      <c r="J325" s="236">
        <f>'Масов баланс'!J328+'Масов баланс'!J330+'Масов баланс'!J331+'Масов баланс'!J333+'Масов баланс'!J334</f>
        <v>760.15625000000011</v>
      </c>
      <c r="K325" s="236">
        <f>'Масов баланс'!K328+'Масов баланс'!K330+'Масов баланс'!K331+'Масов баланс'!K333+'Масов баланс'!K334</f>
        <v>760.15625000000011</v>
      </c>
      <c r="L325" s="236">
        <f>'Масов баланс'!L328+'Масов баланс'!L330+'Масов баланс'!L331+'Масов баланс'!L333+'Масов баланс'!L334</f>
        <v>760.15625000000011</v>
      </c>
      <c r="M325" s="236">
        <f>'Масов баланс'!M328+'Масов баланс'!M330+'Масов баланс'!M331+'Масов баланс'!M333+'Масов баланс'!M334</f>
        <v>760.15625000000011</v>
      </c>
      <c r="N325" s="236">
        <f>'Масов баланс'!N328+'Масов баланс'!N330+'Масов баланс'!N331+'Масов баланс'!N333+'Масов баланс'!N334</f>
        <v>760.15625000000011</v>
      </c>
      <c r="O325" s="236">
        <f>'Масов баланс'!O328+'Масов баланс'!O330+'Масов баланс'!O331+'Масов баланс'!O333+'Масов баланс'!O334</f>
        <v>760.15625000000011</v>
      </c>
      <c r="P325" s="236">
        <f>'Масов баланс'!P328+'Масов баланс'!P330+'Масов баланс'!P331+'Масов баланс'!P333+'Масов баланс'!P334</f>
        <v>760.15625000000011</v>
      </c>
    </row>
    <row r="326" spans="1:16" x14ac:dyDescent="0.2">
      <c r="A326" s="370" t="str">
        <f>A23</f>
        <v>Отпадъци от търговски обекти и юридически лица, събирани съвместно с отпадъците от домакинствата</v>
      </c>
      <c r="B326" s="235"/>
      <c r="C326" s="235"/>
      <c r="D326" s="357" t="s">
        <v>24</v>
      </c>
      <c r="E326" s="236">
        <f>'Масов баланс'!E329+'Масов баланс'!E332+'Масов баланс'!E335</f>
        <v>182</v>
      </c>
      <c r="F326" s="236">
        <f>'Масов баланс'!F329+'Масов баланс'!F332+'Масов баланс'!F335</f>
        <v>182</v>
      </c>
      <c r="G326" s="236">
        <f>'Масов баланс'!G329+'Масов баланс'!G332+'Масов баланс'!G335</f>
        <v>182</v>
      </c>
      <c r="H326" s="236">
        <f>'Масов баланс'!H329+'Масов баланс'!H332+'Масов баланс'!H335</f>
        <v>182</v>
      </c>
      <c r="I326" s="236">
        <f>'Масов баланс'!I329+'Масов баланс'!I332+'Масов баланс'!I335</f>
        <v>182</v>
      </c>
      <c r="J326" s="236">
        <f>'Масов баланс'!J329+'Масов баланс'!J332+'Масов баланс'!J335</f>
        <v>182</v>
      </c>
      <c r="K326" s="236">
        <f>'Масов баланс'!K329+'Масов баланс'!K332+'Масов баланс'!K335</f>
        <v>182</v>
      </c>
      <c r="L326" s="236">
        <f>'Масов баланс'!L329+'Масов баланс'!L332+'Масов баланс'!L335</f>
        <v>182</v>
      </c>
      <c r="M326" s="236">
        <f>'Масов баланс'!M329+'Масов баланс'!M332+'Масов баланс'!M335</f>
        <v>182</v>
      </c>
      <c r="N326" s="236">
        <f>'Масов баланс'!N329+'Масов баланс'!N332+'Масов баланс'!N335</f>
        <v>182</v>
      </c>
      <c r="O326" s="236">
        <f>'Масов баланс'!O329+'Масов баланс'!O332+'Масов баланс'!O335</f>
        <v>182</v>
      </c>
      <c r="P326" s="236">
        <f>'Масов баланс'!P329+'Масов баланс'!P332+'Масов баланс'!P335</f>
        <v>182</v>
      </c>
    </row>
    <row r="327" spans="1:16" x14ac:dyDescent="0.2">
      <c r="A327" s="370" t="str">
        <f>A24</f>
        <v>Смесени отпадъци и други примеси изхвърлени в контейнерите за разделно събиране</v>
      </c>
      <c r="B327" s="235"/>
      <c r="C327" s="235"/>
      <c r="D327" s="357" t="s">
        <v>24</v>
      </c>
      <c r="E327" s="236">
        <f>'Масов баланс'!E337</f>
        <v>329.75468750000005</v>
      </c>
      <c r="F327" s="236">
        <f>'Масов баланс'!F337</f>
        <v>329.75468750000005</v>
      </c>
      <c r="G327" s="236">
        <f>'Масов баланс'!G337</f>
        <v>329.75468750000005</v>
      </c>
      <c r="H327" s="236">
        <f>'Масов баланс'!H337</f>
        <v>329.75468750000005</v>
      </c>
      <c r="I327" s="236">
        <f>'Масов баланс'!I337</f>
        <v>329.75468750000005</v>
      </c>
      <c r="J327" s="236">
        <f>'Масов баланс'!J337</f>
        <v>329.75468750000005</v>
      </c>
      <c r="K327" s="236">
        <f>'Масов баланс'!K337</f>
        <v>329.75468750000005</v>
      </c>
      <c r="L327" s="236">
        <f>'Масов баланс'!L337</f>
        <v>329.75468750000005</v>
      </c>
      <c r="M327" s="236">
        <f>'Масов баланс'!M337</f>
        <v>329.75468750000005</v>
      </c>
      <c r="N327" s="236">
        <f>'Масов баланс'!N337</f>
        <v>329.75468750000005</v>
      </c>
      <c r="O327" s="236">
        <f>'Масов баланс'!O337</f>
        <v>329.75468750000005</v>
      </c>
      <c r="P327" s="236">
        <f>'Масов баланс'!P337</f>
        <v>329.75468750000005</v>
      </c>
    </row>
    <row r="328" spans="1:16" x14ac:dyDescent="0.2">
      <c r="A328" s="370" t="str">
        <f>A25</f>
        <v>% отпадъци от търговски обекти</v>
      </c>
      <c r="B328" s="235"/>
      <c r="C328" s="235"/>
      <c r="D328" s="357" t="s">
        <v>19</v>
      </c>
      <c r="E328" s="240">
        <f t="shared" ref="E328:P328" si="222">IF(E324&lt;1,0,E326/E324)</f>
        <v>0.14309177996199121</v>
      </c>
      <c r="F328" s="240">
        <f t="shared" si="222"/>
        <v>0.14309177996199121</v>
      </c>
      <c r="G328" s="240">
        <f t="shared" si="222"/>
        <v>0.14309177996199121</v>
      </c>
      <c r="H328" s="240">
        <f t="shared" si="222"/>
        <v>0.14309177996199121</v>
      </c>
      <c r="I328" s="240">
        <f t="shared" si="222"/>
        <v>0.14309177996199121</v>
      </c>
      <c r="J328" s="240">
        <f t="shared" si="222"/>
        <v>0.14309177996199121</v>
      </c>
      <c r="K328" s="240">
        <f t="shared" si="222"/>
        <v>0.14309177996199121</v>
      </c>
      <c r="L328" s="240">
        <f t="shared" si="222"/>
        <v>0.14309177996199121</v>
      </c>
      <c r="M328" s="240">
        <f t="shared" si="222"/>
        <v>0.14309177996199121</v>
      </c>
      <c r="N328" s="240">
        <f t="shared" si="222"/>
        <v>0.14309177996199121</v>
      </c>
      <c r="O328" s="240">
        <f t="shared" si="222"/>
        <v>0.14309177996199121</v>
      </c>
      <c r="P328" s="240">
        <f t="shared" si="222"/>
        <v>0.14309177996199121</v>
      </c>
    </row>
    <row r="329" spans="1:16" x14ac:dyDescent="0.2">
      <c r="A329" s="235"/>
      <c r="B329" s="241"/>
      <c r="C329" s="235"/>
      <c r="D329" s="365"/>
      <c r="E329" s="236"/>
      <c r="F329" s="236"/>
      <c r="G329" s="236"/>
      <c r="H329" s="236"/>
      <c r="I329" s="236"/>
      <c r="J329" s="236"/>
      <c r="K329" s="236"/>
      <c r="L329" s="236"/>
      <c r="M329" s="242"/>
      <c r="N329" s="242"/>
      <c r="O329" s="238"/>
      <c r="P329" s="238"/>
    </row>
    <row r="330" spans="1:16" x14ac:dyDescent="0.2">
      <c r="A330" s="369" t="s">
        <v>26</v>
      </c>
      <c r="B330" s="235"/>
      <c r="C330" s="235"/>
      <c r="D330" s="357"/>
      <c r="E330" s="236"/>
      <c r="F330" s="236"/>
      <c r="G330" s="236"/>
      <c r="H330" s="236"/>
      <c r="I330" s="236"/>
      <c r="J330" s="236"/>
      <c r="K330" s="236"/>
      <c r="L330" s="242"/>
      <c r="M330" s="242"/>
      <c r="N330" s="242"/>
      <c r="O330" s="238"/>
      <c r="P330" s="238"/>
    </row>
    <row r="331" spans="1:16" x14ac:dyDescent="0.2">
      <c r="A331" s="370" t="str">
        <f>A28</f>
        <v>Работни дни седмично</v>
      </c>
      <c r="B331" s="235"/>
      <c r="C331" s="235"/>
      <c r="D331" s="357" t="s">
        <v>28</v>
      </c>
      <c r="E331" s="235">
        <f t="shared" ref="E331:P331" si="223">E255</f>
        <v>5</v>
      </c>
      <c r="F331" s="235">
        <f t="shared" si="223"/>
        <v>5</v>
      </c>
      <c r="G331" s="235">
        <f t="shared" si="223"/>
        <v>5</v>
      </c>
      <c r="H331" s="235">
        <f t="shared" si="223"/>
        <v>5</v>
      </c>
      <c r="I331" s="235">
        <f t="shared" si="223"/>
        <v>5</v>
      </c>
      <c r="J331" s="235">
        <f t="shared" si="223"/>
        <v>5</v>
      </c>
      <c r="K331" s="235">
        <f t="shared" si="223"/>
        <v>5</v>
      </c>
      <c r="L331" s="235">
        <f t="shared" si="223"/>
        <v>5</v>
      </c>
      <c r="M331" s="235">
        <f t="shared" si="223"/>
        <v>5</v>
      </c>
      <c r="N331" s="235">
        <f t="shared" si="223"/>
        <v>5</v>
      </c>
      <c r="O331" s="235">
        <f t="shared" si="223"/>
        <v>5</v>
      </c>
      <c r="P331" s="235">
        <f t="shared" si="223"/>
        <v>5</v>
      </c>
    </row>
    <row r="332" spans="1:16" x14ac:dyDescent="0.2">
      <c r="A332" s="370" t="str">
        <f>A29</f>
        <v>Ефективни работни часове на смяна</v>
      </c>
      <c r="B332" s="235"/>
      <c r="C332" s="235"/>
      <c r="D332" s="357" t="s">
        <v>30</v>
      </c>
      <c r="E332" s="235">
        <f t="shared" ref="E332:P332" si="224">E256</f>
        <v>8</v>
      </c>
      <c r="F332" s="235">
        <f t="shared" si="224"/>
        <v>8</v>
      </c>
      <c r="G332" s="235">
        <f t="shared" si="224"/>
        <v>8</v>
      </c>
      <c r="H332" s="235">
        <f t="shared" si="224"/>
        <v>8</v>
      </c>
      <c r="I332" s="235">
        <f t="shared" si="224"/>
        <v>8</v>
      </c>
      <c r="J332" s="235">
        <f t="shared" si="224"/>
        <v>8</v>
      </c>
      <c r="K332" s="235">
        <f t="shared" si="224"/>
        <v>8</v>
      </c>
      <c r="L332" s="235">
        <f t="shared" si="224"/>
        <v>8</v>
      </c>
      <c r="M332" s="235">
        <f t="shared" si="224"/>
        <v>8</v>
      </c>
      <c r="N332" s="235">
        <f t="shared" si="224"/>
        <v>8</v>
      </c>
      <c r="O332" s="235">
        <f t="shared" si="224"/>
        <v>8</v>
      </c>
      <c r="P332" s="235">
        <f t="shared" si="224"/>
        <v>8</v>
      </c>
    </row>
    <row r="333" spans="1:16" x14ac:dyDescent="0.2">
      <c r="A333" s="370" t="str">
        <f>A30</f>
        <v>Брой смени</v>
      </c>
      <c r="B333" s="235"/>
      <c r="C333" s="235"/>
      <c r="D333" s="357" t="s">
        <v>32</v>
      </c>
      <c r="E333" s="235">
        <f t="shared" ref="E333:P333" si="225">E257</f>
        <v>1</v>
      </c>
      <c r="F333" s="235">
        <f t="shared" si="225"/>
        <v>1</v>
      </c>
      <c r="G333" s="235">
        <f t="shared" si="225"/>
        <v>1</v>
      </c>
      <c r="H333" s="235">
        <f t="shared" si="225"/>
        <v>1</v>
      </c>
      <c r="I333" s="235">
        <f t="shared" si="225"/>
        <v>1</v>
      </c>
      <c r="J333" s="235">
        <f t="shared" si="225"/>
        <v>1</v>
      </c>
      <c r="K333" s="235">
        <f t="shared" si="225"/>
        <v>1</v>
      </c>
      <c r="L333" s="235">
        <f t="shared" si="225"/>
        <v>1</v>
      </c>
      <c r="M333" s="235">
        <f t="shared" si="225"/>
        <v>1</v>
      </c>
      <c r="N333" s="235">
        <f t="shared" si="225"/>
        <v>1</v>
      </c>
      <c r="O333" s="235">
        <f t="shared" si="225"/>
        <v>1</v>
      </c>
      <c r="P333" s="235">
        <f t="shared" si="225"/>
        <v>1</v>
      </c>
    </row>
    <row r="334" spans="1:16" x14ac:dyDescent="0.2">
      <c r="A334" s="235"/>
      <c r="B334" s="235"/>
      <c r="C334" s="235"/>
      <c r="D334" s="357"/>
      <c r="E334" s="235"/>
      <c r="F334" s="235"/>
      <c r="G334" s="235"/>
      <c r="H334" s="235"/>
      <c r="I334" s="235"/>
      <c r="J334" s="235"/>
      <c r="K334" s="235"/>
      <c r="L334" s="235"/>
      <c r="M334" s="235"/>
      <c r="N334" s="235"/>
      <c r="O334" s="235"/>
      <c r="P334" s="235"/>
    </row>
    <row r="335" spans="1:16" x14ac:dyDescent="0.2">
      <c r="A335" s="239" t="s">
        <v>33</v>
      </c>
      <c r="B335" s="235"/>
      <c r="C335" s="235"/>
      <c r="D335" s="357"/>
      <c r="E335" s="235"/>
      <c r="F335" s="235"/>
      <c r="G335" s="235"/>
      <c r="H335" s="235"/>
      <c r="I335" s="235"/>
      <c r="J335" s="235"/>
      <c r="K335" s="235"/>
      <c r="L335" s="235"/>
      <c r="M335" s="235"/>
      <c r="N335" s="235"/>
      <c r="O335" s="235"/>
      <c r="P335" s="235"/>
    </row>
    <row r="336" spans="1:16" x14ac:dyDescent="0.2">
      <c r="A336" s="370" t="str">
        <f>A33</f>
        <v>Работни седмици в годината</v>
      </c>
      <c r="B336" s="235"/>
      <c r="C336" s="235"/>
      <c r="D336" s="357" t="s">
        <v>34</v>
      </c>
      <c r="E336" s="235">
        <f t="shared" ref="E336:P336" si="226">E260</f>
        <v>46</v>
      </c>
      <c r="F336" s="235">
        <f t="shared" si="226"/>
        <v>46</v>
      </c>
      <c r="G336" s="235">
        <f t="shared" si="226"/>
        <v>46</v>
      </c>
      <c r="H336" s="235">
        <f t="shared" si="226"/>
        <v>46</v>
      </c>
      <c r="I336" s="235">
        <f t="shared" si="226"/>
        <v>46</v>
      </c>
      <c r="J336" s="235">
        <f t="shared" si="226"/>
        <v>46</v>
      </c>
      <c r="K336" s="235">
        <f t="shared" si="226"/>
        <v>46</v>
      </c>
      <c r="L336" s="235">
        <f t="shared" si="226"/>
        <v>46</v>
      </c>
      <c r="M336" s="235">
        <f t="shared" si="226"/>
        <v>46</v>
      </c>
      <c r="N336" s="235">
        <f t="shared" si="226"/>
        <v>46</v>
      </c>
      <c r="O336" s="235">
        <f t="shared" si="226"/>
        <v>46</v>
      </c>
      <c r="P336" s="235">
        <f t="shared" si="226"/>
        <v>46</v>
      </c>
    </row>
    <row r="337" spans="1:16" x14ac:dyDescent="0.2">
      <c r="A337" s="370" t="str">
        <f t="shared" ref="A337:A342" si="227">A34</f>
        <v>Работни дни седмично</v>
      </c>
      <c r="B337" s="235"/>
      <c r="C337" s="235"/>
      <c r="D337" s="357" t="s">
        <v>28</v>
      </c>
      <c r="E337" s="235">
        <f t="shared" ref="E337:P337" si="228">E261</f>
        <v>5</v>
      </c>
      <c r="F337" s="235">
        <f t="shared" si="228"/>
        <v>5</v>
      </c>
      <c r="G337" s="235">
        <f t="shared" si="228"/>
        <v>5</v>
      </c>
      <c r="H337" s="235">
        <f t="shared" si="228"/>
        <v>5</v>
      </c>
      <c r="I337" s="235">
        <f t="shared" si="228"/>
        <v>5</v>
      </c>
      <c r="J337" s="235">
        <f t="shared" si="228"/>
        <v>5</v>
      </c>
      <c r="K337" s="235">
        <f t="shared" si="228"/>
        <v>5</v>
      </c>
      <c r="L337" s="235">
        <f t="shared" si="228"/>
        <v>5</v>
      </c>
      <c r="M337" s="235">
        <f t="shared" si="228"/>
        <v>5</v>
      </c>
      <c r="N337" s="235">
        <f t="shared" si="228"/>
        <v>5</v>
      </c>
      <c r="O337" s="235">
        <f t="shared" si="228"/>
        <v>5</v>
      </c>
      <c r="P337" s="235">
        <f t="shared" si="228"/>
        <v>5</v>
      </c>
    </row>
    <row r="338" spans="1:16" x14ac:dyDescent="0.2">
      <c r="A338" s="370" t="str">
        <f t="shared" si="227"/>
        <v>Болнични</v>
      </c>
      <c r="B338" s="235"/>
      <c r="C338" s="235"/>
      <c r="D338" s="357"/>
      <c r="E338" s="243">
        <f t="shared" ref="E338:P338" si="229">E262</f>
        <v>0.05</v>
      </c>
      <c r="F338" s="243">
        <f t="shared" si="229"/>
        <v>0.05</v>
      </c>
      <c r="G338" s="243">
        <f t="shared" si="229"/>
        <v>0.05</v>
      </c>
      <c r="H338" s="243">
        <f t="shared" si="229"/>
        <v>0.05</v>
      </c>
      <c r="I338" s="243">
        <f t="shared" si="229"/>
        <v>0.05</v>
      </c>
      <c r="J338" s="243">
        <f t="shared" si="229"/>
        <v>0.05</v>
      </c>
      <c r="K338" s="243">
        <f t="shared" si="229"/>
        <v>0.05</v>
      </c>
      <c r="L338" s="243">
        <f t="shared" si="229"/>
        <v>0.05</v>
      </c>
      <c r="M338" s="243">
        <f t="shared" si="229"/>
        <v>0.05</v>
      </c>
      <c r="N338" s="243">
        <f t="shared" si="229"/>
        <v>0.05</v>
      </c>
      <c r="O338" s="243">
        <f t="shared" si="229"/>
        <v>0.05</v>
      </c>
      <c r="P338" s="243">
        <f t="shared" si="229"/>
        <v>0.05</v>
      </c>
    </row>
    <row r="339" spans="1:16" x14ac:dyDescent="0.2">
      <c r="A339" s="370" t="str">
        <f t="shared" si="227"/>
        <v>Работни дни в годината</v>
      </c>
      <c r="B339" s="235"/>
      <c r="C339" s="235"/>
      <c r="D339" s="357" t="s">
        <v>37</v>
      </c>
      <c r="E339" s="235">
        <f t="shared" ref="E339:P339" si="230">+E336*E337*(1-E338)</f>
        <v>218.5</v>
      </c>
      <c r="F339" s="235">
        <f t="shared" si="230"/>
        <v>218.5</v>
      </c>
      <c r="G339" s="235">
        <f t="shared" si="230"/>
        <v>218.5</v>
      </c>
      <c r="H339" s="235">
        <f t="shared" si="230"/>
        <v>218.5</v>
      </c>
      <c r="I339" s="235">
        <f t="shared" si="230"/>
        <v>218.5</v>
      </c>
      <c r="J339" s="235">
        <f t="shared" si="230"/>
        <v>218.5</v>
      </c>
      <c r="K339" s="235">
        <f t="shared" si="230"/>
        <v>218.5</v>
      </c>
      <c r="L339" s="235">
        <f t="shared" si="230"/>
        <v>218.5</v>
      </c>
      <c r="M339" s="235">
        <f t="shared" si="230"/>
        <v>218.5</v>
      </c>
      <c r="N339" s="235">
        <f t="shared" si="230"/>
        <v>218.5</v>
      </c>
      <c r="O339" s="235">
        <f t="shared" si="230"/>
        <v>218.5</v>
      </c>
      <c r="P339" s="235">
        <f t="shared" si="230"/>
        <v>218.5</v>
      </c>
    </row>
    <row r="340" spans="1:16" x14ac:dyDescent="0.2">
      <c r="A340" s="370" t="str">
        <f t="shared" si="227"/>
        <v>Работни дни седмично</v>
      </c>
      <c r="B340" s="235"/>
      <c r="C340" s="235"/>
      <c r="D340" s="357" t="s">
        <v>28</v>
      </c>
      <c r="E340" s="235">
        <f t="shared" ref="E340:P340" si="231">+E331</f>
        <v>5</v>
      </c>
      <c r="F340" s="235">
        <f t="shared" si="231"/>
        <v>5</v>
      </c>
      <c r="G340" s="235">
        <f t="shared" si="231"/>
        <v>5</v>
      </c>
      <c r="H340" s="235">
        <f t="shared" si="231"/>
        <v>5</v>
      </c>
      <c r="I340" s="235">
        <f t="shared" si="231"/>
        <v>5</v>
      </c>
      <c r="J340" s="235">
        <f t="shared" si="231"/>
        <v>5</v>
      </c>
      <c r="K340" s="235">
        <f t="shared" si="231"/>
        <v>5</v>
      </c>
      <c r="L340" s="235">
        <f t="shared" si="231"/>
        <v>5</v>
      </c>
      <c r="M340" s="235">
        <f t="shared" si="231"/>
        <v>5</v>
      </c>
      <c r="N340" s="235">
        <f t="shared" si="231"/>
        <v>5</v>
      </c>
      <c r="O340" s="235">
        <f t="shared" si="231"/>
        <v>5</v>
      </c>
      <c r="P340" s="235">
        <f t="shared" si="231"/>
        <v>5</v>
      </c>
    </row>
    <row r="341" spans="1:16" x14ac:dyDescent="0.2">
      <c r="A341" s="370" t="str">
        <f t="shared" si="227"/>
        <v>Необходими работни дни</v>
      </c>
      <c r="B341" s="235"/>
      <c r="C341" s="235"/>
      <c r="D341" s="357" t="s">
        <v>37</v>
      </c>
      <c r="E341" s="235">
        <f t="shared" ref="E341:P341" si="232">52*E340</f>
        <v>260</v>
      </c>
      <c r="F341" s="235">
        <f t="shared" si="232"/>
        <v>260</v>
      </c>
      <c r="G341" s="235">
        <f t="shared" si="232"/>
        <v>260</v>
      </c>
      <c r="H341" s="235">
        <f t="shared" si="232"/>
        <v>260</v>
      </c>
      <c r="I341" s="235">
        <f t="shared" si="232"/>
        <v>260</v>
      </c>
      <c r="J341" s="235">
        <f t="shared" si="232"/>
        <v>260</v>
      </c>
      <c r="K341" s="235">
        <f t="shared" si="232"/>
        <v>260</v>
      </c>
      <c r="L341" s="235">
        <f t="shared" si="232"/>
        <v>260</v>
      </c>
      <c r="M341" s="235">
        <f t="shared" si="232"/>
        <v>260</v>
      </c>
      <c r="N341" s="235">
        <f t="shared" si="232"/>
        <v>260</v>
      </c>
      <c r="O341" s="235">
        <f t="shared" si="232"/>
        <v>260</v>
      </c>
      <c r="P341" s="235">
        <f t="shared" si="232"/>
        <v>260</v>
      </c>
    </row>
    <row r="342" spans="1:16" x14ac:dyDescent="0.2">
      <c r="A342" s="370" t="str">
        <f t="shared" si="227"/>
        <v>Човешки фактор</v>
      </c>
      <c r="B342" s="235"/>
      <c r="C342" s="235"/>
      <c r="D342" s="357"/>
      <c r="E342" s="243">
        <f t="shared" ref="E342:P342" si="233">+E341/E339</f>
        <v>1.1899313501144164</v>
      </c>
      <c r="F342" s="243">
        <f t="shared" si="233"/>
        <v>1.1899313501144164</v>
      </c>
      <c r="G342" s="243">
        <f t="shared" si="233"/>
        <v>1.1899313501144164</v>
      </c>
      <c r="H342" s="243">
        <f t="shared" si="233"/>
        <v>1.1899313501144164</v>
      </c>
      <c r="I342" s="243">
        <f t="shared" si="233"/>
        <v>1.1899313501144164</v>
      </c>
      <c r="J342" s="243">
        <f t="shared" si="233"/>
        <v>1.1899313501144164</v>
      </c>
      <c r="K342" s="243">
        <f t="shared" si="233"/>
        <v>1.1899313501144164</v>
      </c>
      <c r="L342" s="243">
        <f t="shared" si="233"/>
        <v>1.1899313501144164</v>
      </c>
      <c r="M342" s="243">
        <f t="shared" si="233"/>
        <v>1.1899313501144164</v>
      </c>
      <c r="N342" s="243">
        <f t="shared" si="233"/>
        <v>1.1899313501144164</v>
      </c>
      <c r="O342" s="243">
        <f t="shared" si="233"/>
        <v>1.1899313501144164</v>
      </c>
      <c r="P342" s="243">
        <f t="shared" si="233"/>
        <v>1.1899313501144164</v>
      </c>
    </row>
    <row r="343" spans="1:16" x14ac:dyDescent="0.2">
      <c r="A343" s="235"/>
      <c r="B343" s="235"/>
      <c r="C343" s="235"/>
      <c r="D343" s="357"/>
      <c r="E343" s="238"/>
      <c r="F343" s="238"/>
      <c r="G343" s="238"/>
      <c r="H343" s="238"/>
      <c r="I343" s="238"/>
      <c r="J343" s="238"/>
      <c r="K343" s="238"/>
      <c r="L343" s="235"/>
      <c r="M343" s="235"/>
      <c r="N343" s="235"/>
      <c r="O343" s="235"/>
      <c r="P343" s="235"/>
    </row>
    <row r="344" spans="1:16" x14ac:dyDescent="0.2">
      <c r="A344" s="239" t="s">
        <v>40</v>
      </c>
      <c r="B344" s="235"/>
      <c r="C344" s="235"/>
      <c r="D344" s="357"/>
      <c r="E344" s="244"/>
      <c r="F344" s="244"/>
      <c r="G344" s="244"/>
      <c r="H344" s="244"/>
      <c r="I344" s="244"/>
      <c r="J344" s="244"/>
      <c r="K344" s="244"/>
      <c r="L344" s="244"/>
      <c r="M344" s="244"/>
      <c r="N344" s="244"/>
      <c r="O344" s="244"/>
      <c r="P344" s="244"/>
    </row>
    <row r="345" spans="1:16" x14ac:dyDescent="0.2">
      <c r="A345" s="370" t="str">
        <f t="shared" ref="A345:A354" si="234">A42</f>
        <v>Плътност на отпадъците</v>
      </c>
      <c r="B345" s="235"/>
      <c r="C345" s="235"/>
      <c r="D345" s="357" t="s">
        <v>41</v>
      </c>
      <c r="E345" s="242">
        <f>'Масов баланс'!E325</f>
        <v>6.8177987599858977E-2</v>
      </c>
      <c r="F345" s="242">
        <f>'Масов баланс'!F325</f>
        <v>6.8177987599858977E-2</v>
      </c>
      <c r="G345" s="242">
        <f>'Масов баланс'!G325</f>
        <v>6.8177987599858977E-2</v>
      </c>
      <c r="H345" s="242">
        <f>'Масов баланс'!H325</f>
        <v>6.8177987599858977E-2</v>
      </c>
      <c r="I345" s="242">
        <f>'Масов баланс'!I325</f>
        <v>6.8177987599858977E-2</v>
      </c>
      <c r="J345" s="242">
        <f>'Масов баланс'!J325</f>
        <v>6.8177987599858977E-2</v>
      </c>
      <c r="K345" s="242">
        <f>'Масов баланс'!K325</f>
        <v>6.8177987599858977E-2</v>
      </c>
      <c r="L345" s="242">
        <f>'Масов баланс'!L325</f>
        <v>6.8177987599858977E-2</v>
      </c>
      <c r="M345" s="242">
        <f>'Масов баланс'!M325</f>
        <v>6.8177987599858977E-2</v>
      </c>
      <c r="N345" s="242">
        <f>'Масов баланс'!N325</f>
        <v>6.8177987599858977E-2</v>
      </c>
      <c r="O345" s="242">
        <f>'Масов баланс'!O325</f>
        <v>6.8177987599858977E-2</v>
      </c>
      <c r="P345" s="242">
        <f>'Масов баланс'!P325</f>
        <v>6.8177987599858977E-2</v>
      </c>
    </row>
    <row r="346" spans="1:16" ht="15" x14ac:dyDescent="0.2">
      <c r="A346" s="370" t="str">
        <f t="shared" si="234"/>
        <v>Обем на отпадъците</v>
      </c>
      <c r="B346" s="235"/>
      <c r="C346" s="235"/>
      <c r="D346" s="357" t="s">
        <v>202</v>
      </c>
      <c r="E346" s="235">
        <f t="shared" ref="E346:P346" si="235">IF(E324=0,0,E324/E345)</f>
        <v>18655.741864440584</v>
      </c>
      <c r="F346" s="245">
        <f t="shared" si="235"/>
        <v>18655.741864440584</v>
      </c>
      <c r="G346" s="245">
        <f t="shared" si="235"/>
        <v>18655.741864440584</v>
      </c>
      <c r="H346" s="245">
        <f t="shared" si="235"/>
        <v>18655.741864440584</v>
      </c>
      <c r="I346" s="245">
        <f t="shared" si="235"/>
        <v>18655.741864440584</v>
      </c>
      <c r="J346" s="245">
        <f t="shared" si="235"/>
        <v>18655.741864440584</v>
      </c>
      <c r="K346" s="245">
        <f t="shared" si="235"/>
        <v>18655.741864440584</v>
      </c>
      <c r="L346" s="245">
        <f t="shared" si="235"/>
        <v>18655.741864440584</v>
      </c>
      <c r="M346" s="245">
        <f t="shared" si="235"/>
        <v>18655.741864440584</v>
      </c>
      <c r="N346" s="245">
        <f t="shared" si="235"/>
        <v>18655.741864440584</v>
      </c>
      <c r="O346" s="245">
        <f t="shared" si="235"/>
        <v>18655.741864440584</v>
      </c>
      <c r="P346" s="245">
        <f t="shared" si="235"/>
        <v>18655.741864440584</v>
      </c>
    </row>
    <row r="347" spans="1:16" ht="15" x14ac:dyDescent="0.2">
      <c r="A347" s="370" t="str">
        <f t="shared" si="234"/>
        <v>Обем на съдовете</v>
      </c>
      <c r="B347" s="235"/>
      <c r="C347" s="235"/>
      <c r="D347" s="357" t="s">
        <v>203</v>
      </c>
      <c r="E347" s="235">
        <f t="shared" ref="E347:P347" si="236">E271</f>
        <v>1.1000000000000001</v>
      </c>
      <c r="F347" s="235">
        <f t="shared" si="236"/>
        <v>1.1000000000000001</v>
      </c>
      <c r="G347" s="235">
        <f t="shared" si="236"/>
        <v>1.1000000000000001</v>
      </c>
      <c r="H347" s="235">
        <f t="shared" si="236"/>
        <v>1.1000000000000001</v>
      </c>
      <c r="I347" s="235">
        <f t="shared" si="236"/>
        <v>1.1000000000000001</v>
      </c>
      <c r="J347" s="235">
        <f t="shared" si="236"/>
        <v>1.1000000000000001</v>
      </c>
      <c r="K347" s="235">
        <f t="shared" si="236"/>
        <v>1.1000000000000001</v>
      </c>
      <c r="L347" s="235">
        <f t="shared" si="236"/>
        <v>1.1000000000000001</v>
      </c>
      <c r="M347" s="235">
        <f t="shared" si="236"/>
        <v>1.1000000000000001</v>
      </c>
      <c r="N347" s="235">
        <f t="shared" si="236"/>
        <v>1.1000000000000001</v>
      </c>
      <c r="O347" s="235">
        <f t="shared" si="236"/>
        <v>1.1000000000000001</v>
      </c>
      <c r="P347" s="235">
        <f t="shared" si="236"/>
        <v>1.1000000000000001</v>
      </c>
    </row>
    <row r="348" spans="1:16" x14ac:dyDescent="0.2">
      <c r="A348" s="370" t="str">
        <f t="shared" si="234"/>
        <v>Честота на събиране годишно</v>
      </c>
      <c r="B348" s="235"/>
      <c r="C348" s="235"/>
      <c r="D348" s="357" t="s">
        <v>45</v>
      </c>
      <c r="E348" s="235">
        <f>Допускания!C37</f>
        <v>104</v>
      </c>
      <c r="F348" s="235">
        <f t="shared" ref="F348:P348" si="237">+E348</f>
        <v>104</v>
      </c>
      <c r="G348" s="235">
        <f t="shared" si="237"/>
        <v>104</v>
      </c>
      <c r="H348" s="235">
        <f t="shared" si="237"/>
        <v>104</v>
      </c>
      <c r="I348" s="235">
        <f t="shared" si="237"/>
        <v>104</v>
      </c>
      <c r="J348" s="235">
        <f t="shared" si="237"/>
        <v>104</v>
      </c>
      <c r="K348" s="235">
        <f t="shared" si="237"/>
        <v>104</v>
      </c>
      <c r="L348" s="235">
        <f t="shared" si="237"/>
        <v>104</v>
      </c>
      <c r="M348" s="235">
        <f t="shared" si="237"/>
        <v>104</v>
      </c>
      <c r="N348" s="235">
        <f t="shared" si="237"/>
        <v>104</v>
      </c>
      <c r="O348" s="235">
        <f t="shared" si="237"/>
        <v>104</v>
      </c>
      <c r="P348" s="235">
        <f t="shared" si="237"/>
        <v>104</v>
      </c>
    </row>
    <row r="349" spans="1:16" x14ac:dyDescent="0.2">
      <c r="A349" s="370" t="str">
        <f t="shared" si="234"/>
        <v>Средна запълненост на контейнерите</v>
      </c>
      <c r="B349" s="235"/>
      <c r="C349" s="235"/>
      <c r="D349" s="357" t="s">
        <v>19</v>
      </c>
      <c r="E349" s="246">
        <f t="shared" ref="E349:P349" si="238">E273</f>
        <v>0.9</v>
      </c>
      <c r="F349" s="246">
        <f t="shared" si="238"/>
        <v>0.9</v>
      </c>
      <c r="G349" s="246">
        <f t="shared" si="238"/>
        <v>0.9</v>
      </c>
      <c r="H349" s="246">
        <f t="shared" si="238"/>
        <v>0.9</v>
      </c>
      <c r="I349" s="246">
        <f t="shared" si="238"/>
        <v>0.9</v>
      </c>
      <c r="J349" s="246">
        <f t="shared" si="238"/>
        <v>0.9</v>
      </c>
      <c r="K349" s="246">
        <f t="shared" si="238"/>
        <v>0.9</v>
      </c>
      <c r="L349" s="246">
        <f t="shared" si="238"/>
        <v>0.9</v>
      </c>
      <c r="M349" s="246">
        <f t="shared" si="238"/>
        <v>0.9</v>
      </c>
      <c r="N349" s="246">
        <f t="shared" si="238"/>
        <v>0.9</v>
      </c>
      <c r="O349" s="246">
        <f t="shared" si="238"/>
        <v>0.9</v>
      </c>
      <c r="P349" s="246">
        <f t="shared" si="238"/>
        <v>0.9</v>
      </c>
    </row>
    <row r="350" spans="1:16" x14ac:dyDescent="0.2">
      <c r="A350" s="370" t="str">
        <f t="shared" si="234"/>
        <v>Коефициент на неравномерност</v>
      </c>
      <c r="B350" s="235"/>
      <c r="C350" s="235"/>
      <c r="D350" s="357"/>
      <c r="E350" s="235">
        <f>E274</f>
        <v>1.2</v>
      </c>
      <c r="F350" s="235">
        <f>E350</f>
        <v>1.2</v>
      </c>
      <c r="G350" s="235">
        <f t="shared" ref="G350:P350" si="239">F350</f>
        <v>1.2</v>
      </c>
      <c r="H350" s="235">
        <f t="shared" si="239"/>
        <v>1.2</v>
      </c>
      <c r="I350" s="235">
        <f t="shared" si="239"/>
        <v>1.2</v>
      </c>
      <c r="J350" s="235">
        <f t="shared" si="239"/>
        <v>1.2</v>
      </c>
      <c r="K350" s="235">
        <f t="shared" si="239"/>
        <v>1.2</v>
      </c>
      <c r="L350" s="235">
        <f t="shared" si="239"/>
        <v>1.2</v>
      </c>
      <c r="M350" s="235">
        <f t="shared" si="239"/>
        <v>1.2</v>
      </c>
      <c r="N350" s="235">
        <f t="shared" si="239"/>
        <v>1.2</v>
      </c>
      <c r="O350" s="235">
        <f t="shared" si="239"/>
        <v>1.2</v>
      </c>
      <c r="P350" s="235">
        <f t="shared" si="239"/>
        <v>1.2</v>
      </c>
    </row>
    <row r="351" spans="1:16" x14ac:dyDescent="0.2">
      <c r="A351" s="370" t="str">
        <f t="shared" si="234"/>
        <v>Необходим брой контейнери</v>
      </c>
      <c r="B351" s="235"/>
      <c r="C351" s="235"/>
      <c r="D351" s="357" t="s">
        <v>49</v>
      </c>
      <c r="E351" s="235">
        <f t="shared" ref="E351:P351" si="240">IF(E324=0,0,ROUNDUP((E346/E349/E347)*E350/E348,))</f>
        <v>218</v>
      </c>
      <c r="F351" s="235">
        <f t="shared" si="240"/>
        <v>218</v>
      </c>
      <c r="G351" s="235">
        <f t="shared" si="240"/>
        <v>218</v>
      </c>
      <c r="H351" s="235">
        <f t="shared" si="240"/>
        <v>218</v>
      </c>
      <c r="I351" s="235">
        <f t="shared" si="240"/>
        <v>218</v>
      </c>
      <c r="J351" s="235">
        <f t="shared" si="240"/>
        <v>218</v>
      </c>
      <c r="K351" s="235">
        <f t="shared" si="240"/>
        <v>218</v>
      </c>
      <c r="L351" s="235">
        <f t="shared" si="240"/>
        <v>218</v>
      </c>
      <c r="M351" s="235">
        <f t="shared" si="240"/>
        <v>218</v>
      </c>
      <c r="N351" s="235">
        <f t="shared" si="240"/>
        <v>218</v>
      </c>
      <c r="O351" s="235">
        <f t="shared" si="240"/>
        <v>218</v>
      </c>
      <c r="P351" s="235">
        <f t="shared" si="240"/>
        <v>218</v>
      </c>
    </row>
    <row r="352" spans="1:16" x14ac:dyDescent="0.2">
      <c r="A352" s="370" t="str">
        <f t="shared" si="234"/>
        <v>Контейнери за разполагане</v>
      </c>
      <c r="B352" s="235"/>
      <c r="C352" s="235"/>
      <c r="D352" s="357" t="s">
        <v>49</v>
      </c>
      <c r="E352" s="235">
        <f t="shared" ref="E352:P352" si="241">MAX(E427,E351,E275)</f>
        <v>326</v>
      </c>
      <c r="F352" s="235">
        <f t="shared" si="241"/>
        <v>326</v>
      </c>
      <c r="G352" s="235">
        <f t="shared" si="241"/>
        <v>326</v>
      </c>
      <c r="H352" s="235">
        <f t="shared" si="241"/>
        <v>326</v>
      </c>
      <c r="I352" s="235">
        <f t="shared" si="241"/>
        <v>326</v>
      </c>
      <c r="J352" s="235">
        <f t="shared" si="241"/>
        <v>326</v>
      </c>
      <c r="K352" s="235">
        <f t="shared" si="241"/>
        <v>326</v>
      </c>
      <c r="L352" s="235">
        <f t="shared" si="241"/>
        <v>326</v>
      </c>
      <c r="M352" s="235">
        <f t="shared" si="241"/>
        <v>326</v>
      </c>
      <c r="N352" s="235">
        <f t="shared" si="241"/>
        <v>326</v>
      </c>
      <c r="O352" s="235">
        <f t="shared" si="241"/>
        <v>326</v>
      </c>
      <c r="P352" s="235">
        <f t="shared" si="241"/>
        <v>326</v>
      </c>
    </row>
    <row r="353" spans="1:16" ht="15" x14ac:dyDescent="0.2">
      <c r="A353" s="370" t="str">
        <f t="shared" si="234"/>
        <v>Среден обем на отпадъците във вдигнат контейнер</v>
      </c>
      <c r="B353" s="247"/>
      <c r="C353" s="247"/>
      <c r="D353" s="357" t="s">
        <v>203</v>
      </c>
      <c r="E353" s="248">
        <f t="shared" ref="E353:P353" si="242">IF(E352=0,0,E346/E352/E348)</f>
        <v>0.55025194267462796</v>
      </c>
      <c r="F353" s="248">
        <f t="shared" si="242"/>
        <v>0.55025194267462796</v>
      </c>
      <c r="G353" s="248">
        <f t="shared" si="242"/>
        <v>0.55025194267462796</v>
      </c>
      <c r="H353" s="248">
        <f t="shared" si="242"/>
        <v>0.55025194267462796</v>
      </c>
      <c r="I353" s="248">
        <f t="shared" si="242"/>
        <v>0.55025194267462796</v>
      </c>
      <c r="J353" s="248">
        <f t="shared" si="242"/>
        <v>0.55025194267462796</v>
      </c>
      <c r="K353" s="248">
        <f t="shared" si="242"/>
        <v>0.55025194267462796</v>
      </c>
      <c r="L353" s="248">
        <f t="shared" si="242"/>
        <v>0.55025194267462796</v>
      </c>
      <c r="M353" s="248">
        <f t="shared" si="242"/>
        <v>0.55025194267462796</v>
      </c>
      <c r="N353" s="248">
        <f t="shared" si="242"/>
        <v>0.55025194267462796</v>
      </c>
      <c r="O353" s="248">
        <f t="shared" si="242"/>
        <v>0.55025194267462796</v>
      </c>
      <c r="P353" s="248">
        <f t="shared" si="242"/>
        <v>0.55025194267462796</v>
      </c>
    </row>
    <row r="354" spans="1:16" x14ac:dyDescent="0.2">
      <c r="A354" s="370" t="str">
        <f t="shared" si="234"/>
        <v>Средно количество отпадъци от вдигнат контейнер</v>
      </c>
      <c r="B354" s="247"/>
      <c r="C354" s="247"/>
      <c r="D354" s="357" t="s">
        <v>43</v>
      </c>
      <c r="E354" s="249">
        <f t="shared" ref="E354:P354" si="243">+E353*E345</f>
        <v>3.7515070124469099E-2</v>
      </c>
      <c r="F354" s="249">
        <f t="shared" si="243"/>
        <v>3.7515070124469099E-2</v>
      </c>
      <c r="G354" s="249">
        <f t="shared" si="243"/>
        <v>3.7515070124469099E-2</v>
      </c>
      <c r="H354" s="249">
        <f t="shared" si="243"/>
        <v>3.7515070124469099E-2</v>
      </c>
      <c r="I354" s="249">
        <f t="shared" si="243"/>
        <v>3.7515070124469099E-2</v>
      </c>
      <c r="J354" s="249">
        <f t="shared" si="243"/>
        <v>3.7515070124469099E-2</v>
      </c>
      <c r="K354" s="249">
        <f t="shared" si="243"/>
        <v>3.7515070124469099E-2</v>
      </c>
      <c r="L354" s="249">
        <f t="shared" si="243"/>
        <v>3.7515070124469099E-2</v>
      </c>
      <c r="M354" s="249">
        <f t="shared" si="243"/>
        <v>3.7515070124469099E-2</v>
      </c>
      <c r="N354" s="249">
        <f t="shared" si="243"/>
        <v>3.7515070124469099E-2</v>
      </c>
      <c r="O354" s="249">
        <f t="shared" si="243"/>
        <v>3.7515070124469099E-2</v>
      </c>
      <c r="P354" s="249">
        <f t="shared" si="243"/>
        <v>3.7515070124469099E-2</v>
      </c>
    </row>
    <row r="355" spans="1:16" x14ac:dyDescent="0.2">
      <c r="A355" s="235"/>
      <c r="B355" s="235"/>
      <c r="C355" s="235"/>
      <c r="D355" s="357"/>
      <c r="E355" s="250"/>
      <c r="F355" s="250"/>
      <c r="G355" s="250"/>
      <c r="H355" s="250"/>
      <c r="I355" s="250"/>
      <c r="J355" s="250"/>
      <c r="K355" s="250"/>
      <c r="L355" s="250"/>
      <c r="M355" s="250"/>
      <c r="N355" s="250"/>
      <c r="O355" s="250"/>
      <c r="P355" s="250"/>
    </row>
    <row r="356" spans="1:16" x14ac:dyDescent="0.2">
      <c r="A356" s="239" t="s">
        <v>48</v>
      </c>
      <c r="B356" s="235"/>
      <c r="C356" s="235"/>
      <c r="D356" s="357"/>
      <c r="E356" s="244">
        <f t="shared" ref="E356:P356" si="244">+E352*(1+E357)</f>
        <v>342.3</v>
      </c>
      <c r="F356" s="244">
        <f t="shared" si="244"/>
        <v>342.3</v>
      </c>
      <c r="G356" s="244">
        <f t="shared" si="244"/>
        <v>342.3</v>
      </c>
      <c r="H356" s="244">
        <f t="shared" si="244"/>
        <v>342.3</v>
      </c>
      <c r="I356" s="244">
        <f t="shared" si="244"/>
        <v>342.3</v>
      </c>
      <c r="J356" s="244">
        <f t="shared" si="244"/>
        <v>342.3</v>
      </c>
      <c r="K356" s="244">
        <f t="shared" si="244"/>
        <v>342.3</v>
      </c>
      <c r="L356" s="244">
        <f t="shared" si="244"/>
        <v>342.3</v>
      </c>
      <c r="M356" s="244">
        <f t="shared" si="244"/>
        <v>342.3</v>
      </c>
      <c r="N356" s="244">
        <f t="shared" si="244"/>
        <v>342.3</v>
      </c>
      <c r="O356" s="244">
        <f t="shared" si="244"/>
        <v>342.3</v>
      </c>
      <c r="P356" s="244">
        <f t="shared" si="244"/>
        <v>342.3</v>
      </c>
    </row>
    <row r="357" spans="1:16" x14ac:dyDescent="0.2">
      <c r="A357" s="235" t="s">
        <v>50</v>
      </c>
      <c r="B357" s="235"/>
      <c r="C357" s="235"/>
      <c r="D357" s="357"/>
      <c r="E357" s="251">
        <f>E281</f>
        <v>0.05</v>
      </c>
      <c r="F357" s="251">
        <f>$E357</f>
        <v>0.05</v>
      </c>
      <c r="G357" s="251">
        <f t="shared" ref="G357:P357" si="245">$E357</f>
        <v>0.05</v>
      </c>
      <c r="H357" s="251">
        <f t="shared" si="245"/>
        <v>0.05</v>
      </c>
      <c r="I357" s="251">
        <f t="shared" si="245"/>
        <v>0.05</v>
      </c>
      <c r="J357" s="251">
        <f t="shared" si="245"/>
        <v>0.05</v>
      </c>
      <c r="K357" s="251">
        <f t="shared" si="245"/>
        <v>0.05</v>
      </c>
      <c r="L357" s="251">
        <f t="shared" si="245"/>
        <v>0.05</v>
      </c>
      <c r="M357" s="251">
        <f t="shared" si="245"/>
        <v>0.05</v>
      </c>
      <c r="N357" s="251">
        <f t="shared" si="245"/>
        <v>0.05</v>
      </c>
      <c r="O357" s="251">
        <f t="shared" si="245"/>
        <v>0.05</v>
      </c>
      <c r="P357" s="251">
        <f t="shared" si="245"/>
        <v>0.05</v>
      </c>
    </row>
    <row r="358" spans="1:16" x14ac:dyDescent="0.2">
      <c r="A358" s="370" t="str">
        <f>A55</f>
        <v>Среден брой необходими контейнери</v>
      </c>
      <c r="B358" s="235"/>
      <c r="C358" s="235"/>
      <c r="D358" s="357"/>
      <c r="E358" s="244">
        <f t="shared" ref="E358:P358" si="246">+E356</f>
        <v>342.3</v>
      </c>
      <c r="F358" s="244">
        <f t="shared" si="246"/>
        <v>342.3</v>
      </c>
      <c r="G358" s="244">
        <f t="shared" si="246"/>
        <v>342.3</v>
      </c>
      <c r="H358" s="244">
        <f t="shared" si="246"/>
        <v>342.3</v>
      </c>
      <c r="I358" s="244">
        <f t="shared" si="246"/>
        <v>342.3</v>
      </c>
      <c r="J358" s="244">
        <f t="shared" si="246"/>
        <v>342.3</v>
      </c>
      <c r="K358" s="244">
        <f t="shared" si="246"/>
        <v>342.3</v>
      </c>
      <c r="L358" s="244">
        <f t="shared" si="246"/>
        <v>342.3</v>
      </c>
      <c r="M358" s="244">
        <f t="shared" si="246"/>
        <v>342.3</v>
      </c>
      <c r="N358" s="244">
        <f t="shared" si="246"/>
        <v>342.3</v>
      </c>
      <c r="O358" s="244">
        <f t="shared" si="246"/>
        <v>342.3</v>
      </c>
      <c r="P358" s="244">
        <f t="shared" si="246"/>
        <v>342.3</v>
      </c>
    </row>
    <row r="359" spans="1:16" x14ac:dyDescent="0.2">
      <c r="A359" s="235"/>
      <c r="B359" s="235"/>
      <c r="C359" s="235"/>
      <c r="D359" s="357"/>
      <c r="E359" s="236"/>
      <c r="F359" s="236"/>
      <c r="G359" s="236"/>
      <c r="H359" s="236"/>
      <c r="I359" s="236"/>
      <c r="J359" s="236"/>
      <c r="K359" s="236"/>
      <c r="L359" s="236"/>
      <c r="M359" s="236"/>
      <c r="N359" s="236"/>
      <c r="O359" s="236"/>
      <c r="P359" s="236"/>
    </row>
    <row r="360" spans="1:16" x14ac:dyDescent="0.2">
      <c r="A360" s="287" t="s">
        <v>173</v>
      </c>
      <c r="B360" s="235"/>
      <c r="C360" s="235"/>
      <c r="D360" s="357"/>
      <c r="E360" s="252"/>
      <c r="F360" s="252"/>
      <c r="G360" s="252"/>
      <c r="H360" s="252"/>
      <c r="I360" s="252"/>
      <c r="J360" s="252"/>
      <c r="K360" s="252"/>
      <c r="L360" s="252"/>
      <c r="M360" s="252"/>
      <c r="N360" s="252"/>
      <c r="O360" s="252"/>
      <c r="P360" s="252"/>
    </row>
    <row r="361" spans="1:16" x14ac:dyDescent="0.2">
      <c r="A361" s="370" t="str">
        <f>A58</f>
        <v>Товароносимост</v>
      </c>
      <c r="B361" s="235"/>
      <c r="C361" s="235"/>
      <c r="D361" s="357" t="s">
        <v>22</v>
      </c>
      <c r="E361" s="252">
        <f>IF(Допускания!C6=2,Допускания!$C$45*0.54,Допускания!$C$45*0.3)</f>
        <v>4.8</v>
      </c>
      <c r="F361" s="252">
        <f t="shared" ref="F361:P361" si="247">+E361</f>
        <v>4.8</v>
      </c>
      <c r="G361" s="252">
        <f t="shared" si="247"/>
        <v>4.8</v>
      </c>
      <c r="H361" s="252">
        <f t="shared" si="247"/>
        <v>4.8</v>
      </c>
      <c r="I361" s="252">
        <f t="shared" si="247"/>
        <v>4.8</v>
      </c>
      <c r="J361" s="252">
        <f t="shared" si="247"/>
        <v>4.8</v>
      </c>
      <c r="K361" s="252">
        <f t="shared" si="247"/>
        <v>4.8</v>
      </c>
      <c r="L361" s="252">
        <f t="shared" si="247"/>
        <v>4.8</v>
      </c>
      <c r="M361" s="252">
        <f t="shared" si="247"/>
        <v>4.8</v>
      </c>
      <c r="N361" s="252">
        <f t="shared" si="247"/>
        <v>4.8</v>
      </c>
      <c r="O361" s="252">
        <f t="shared" si="247"/>
        <v>4.8</v>
      </c>
      <c r="P361" s="252">
        <f t="shared" si="247"/>
        <v>4.8</v>
      </c>
    </row>
    <row r="362" spans="1:16" x14ac:dyDescent="0.2">
      <c r="A362" s="370" t="str">
        <f>A59</f>
        <v>Оползотворяване на капацитета</v>
      </c>
      <c r="B362" s="235"/>
      <c r="C362" s="235"/>
      <c r="D362" s="357" t="s">
        <v>56</v>
      </c>
      <c r="E362" s="246">
        <v>0.85</v>
      </c>
      <c r="F362" s="246">
        <f t="shared" ref="F362:P362" si="248">+E362</f>
        <v>0.85</v>
      </c>
      <c r="G362" s="246">
        <f t="shared" si="248"/>
        <v>0.85</v>
      </c>
      <c r="H362" s="246">
        <f t="shared" si="248"/>
        <v>0.85</v>
      </c>
      <c r="I362" s="246">
        <f t="shared" si="248"/>
        <v>0.85</v>
      </c>
      <c r="J362" s="246">
        <f t="shared" si="248"/>
        <v>0.85</v>
      </c>
      <c r="K362" s="246">
        <f t="shared" si="248"/>
        <v>0.85</v>
      </c>
      <c r="L362" s="246">
        <f t="shared" si="248"/>
        <v>0.85</v>
      </c>
      <c r="M362" s="246">
        <f t="shared" si="248"/>
        <v>0.85</v>
      </c>
      <c r="N362" s="246">
        <f t="shared" si="248"/>
        <v>0.85</v>
      </c>
      <c r="O362" s="246">
        <f t="shared" si="248"/>
        <v>0.85</v>
      </c>
      <c r="P362" s="246">
        <f t="shared" si="248"/>
        <v>0.85</v>
      </c>
    </row>
    <row r="363" spans="1:16" x14ac:dyDescent="0.2">
      <c r="A363" s="370" t="str">
        <f>A60</f>
        <v>Средно опозотворен капацитет</v>
      </c>
      <c r="B363" s="235"/>
      <c r="C363" s="235"/>
      <c r="D363" s="357" t="s">
        <v>22</v>
      </c>
      <c r="E363" s="252">
        <f t="shared" ref="E363:P363" si="249">+E361*E362</f>
        <v>4.08</v>
      </c>
      <c r="F363" s="252">
        <f t="shared" si="249"/>
        <v>4.08</v>
      </c>
      <c r="G363" s="252">
        <f t="shared" si="249"/>
        <v>4.08</v>
      </c>
      <c r="H363" s="252">
        <f t="shared" si="249"/>
        <v>4.08</v>
      </c>
      <c r="I363" s="252">
        <f t="shared" si="249"/>
        <v>4.08</v>
      </c>
      <c r="J363" s="252">
        <f t="shared" si="249"/>
        <v>4.08</v>
      </c>
      <c r="K363" s="252">
        <f t="shared" si="249"/>
        <v>4.08</v>
      </c>
      <c r="L363" s="252">
        <f t="shared" si="249"/>
        <v>4.08</v>
      </c>
      <c r="M363" s="252">
        <f t="shared" si="249"/>
        <v>4.08</v>
      </c>
      <c r="N363" s="252">
        <f t="shared" si="249"/>
        <v>4.08</v>
      </c>
      <c r="O363" s="252">
        <f t="shared" si="249"/>
        <v>4.08</v>
      </c>
      <c r="P363" s="252">
        <f t="shared" si="249"/>
        <v>4.08</v>
      </c>
    </row>
    <row r="364" spans="1:16" x14ac:dyDescent="0.2">
      <c r="A364" s="370" t="str">
        <f>A61</f>
        <v>Наличност на автомобилите</v>
      </c>
      <c r="B364" s="235"/>
      <c r="C364" s="235"/>
      <c r="D364" s="357"/>
      <c r="E364" s="246">
        <v>0.85</v>
      </c>
      <c r="F364" s="246">
        <f t="shared" ref="F364:P364" si="250">+E364</f>
        <v>0.85</v>
      </c>
      <c r="G364" s="246">
        <f t="shared" si="250"/>
        <v>0.85</v>
      </c>
      <c r="H364" s="246">
        <f t="shared" si="250"/>
        <v>0.85</v>
      </c>
      <c r="I364" s="246">
        <f t="shared" si="250"/>
        <v>0.85</v>
      </c>
      <c r="J364" s="246">
        <f t="shared" si="250"/>
        <v>0.85</v>
      </c>
      <c r="K364" s="246">
        <f t="shared" si="250"/>
        <v>0.85</v>
      </c>
      <c r="L364" s="246">
        <f t="shared" si="250"/>
        <v>0.85</v>
      </c>
      <c r="M364" s="246">
        <f t="shared" si="250"/>
        <v>0.85</v>
      </c>
      <c r="N364" s="246">
        <f t="shared" si="250"/>
        <v>0.85</v>
      </c>
      <c r="O364" s="246">
        <f t="shared" si="250"/>
        <v>0.85</v>
      </c>
      <c r="P364" s="246">
        <f t="shared" si="250"/>
        <v>0.85</v>
      </c>
    </row>
    <row r="365" spans="1:16" x14ac:dyDescent="0.2">
      <c r="A365" s="235"/>
      <c r="B365" s="235"/>
      <c r="C365" s="235"/>
      <c r="D365" s="357"/>
      <c r="E365" s="246"/>
      <c r="F365" s="246"/>
      <c r="G365" s="246"/>
      <c r="H365" s="246"/>
      <c r="I365" s="246"/>
      <c r="J365" s="246"/>
      <c r="K365" s="246"/>
      <c r="L365" s="246"/>
      <c r="M365" s="246"/>
      <c r="N365" s="246"/>
      <c r="O365" s="246"/>
      <c r="P365" s="246"/>
    </row>
    <row r="366" spans="1:16" x14ac:dyDescent="0.2">
      <c r="A366" s="239" t="s">
        <v>59</v>
      </c>
      <c r="B366" s="235"/>
      <c r="C366" s="235"/>
      <c r="D366" s="357"/>
      <c r="E366" s="246"/>
      <c r="F366" s="246"/>
      <c r="G366" s="246"/>
      <c r="H366" s="246"/>
      <c r="I366" s="246"/>
      <c r="J366" s="246"/>
      <c r="K366" s="246"/>
      <c r="L366" s="246"/>
      <c r="M366" s="246"/>
      <c r="N366" s="246"/>
      <c r="O366" s="246"/>
      <c r="P366" s="246"/>
    </row>
    <row r="367" spans="1:16" x14ac:dyDescent="0.2">
      <c r="A367" s="370" t="str">
        <f t="shared" ref="A367:A389" si="251">A64</f>
        <v>Средно разстояние до площадката за разтоварване</v>
      </c>
      <c r="B367" s="235"/>
      <c r="C367" s="235"/>
      <c r="D367" s="357" t="s">
        <v>61</v>
      </c>
      <c r="E367" s="244">
        <f>E291</f>
        <v>10</v>
      </c>
      <c r="F367" s="244">
        <f t="shared" ref="F367:P367" si="252">+E367</f>
        <v>10</v>
      </c>
      <c r="G367" s="244">
        <f t="shared" si="252"/>
        <v>10</v>
      </c>
      <c r="H367" s="244">
        <f t="shared" si="252"/>
        <v>10</v>
      </c>
      <c r="I367" s="244">
        <f t="shared" si="252"/>
        <v>10</v>
      </c>
      <c r="J367" s="244">
        <f t="shared" si="252"/>
        <v>10</v>
      </c>
      <c r="K367" s="244">
        <f t="shared" si="252"/>
        <v>10</v>
      </c>
      <c r="L367" s="244">
        <f t="shared" si="252"/>
        <v>10</v>
      </c>
      <c r="M367" s="244">
        <f t="shared" si="252"/>
        <v>10</v>
      </c>
      <c r="N367" s="244">
        <f t="shared" si="252"/>
        <v>10</v>
      </c>
      <c r="O367" s="244">
        <f t="shared" si="252"/>
        <v>10</v>
      </c>
      <c r="P367" s="244">
        <f t="shared" si="252"/>
        <v>10</v>
      </c>
    </row>
    <row r="368" spans="1:16" x14ac:dyDescent="0.2">
      <c r="A368" s="370" t="str">
        <f t="shared" si="251"/>
        <v>Средна скорост при пътуване</v>
      </c>
      <c r="B368" s="235"/>
      <c r="C368" s="235"/>
      <c r="D368" s="357" t="s">
        <v>63</v>
      </c>
      <c r="E368" s="244">
        <f>E292</f>
        <v>30</v>
      </c>
      <c r="F368" s="244">
        <f t="shared" ref="F368:P368" si="253">E368</f>
        <v>30</v>
      </c>
      <c r="G368" s="244">
        <f t="shared" si="253"/>
        <v>30</v>
      </c>
      <c r="H368" s="244">
        <f t="shared" si="253"/>
        <v>30</v>
      </c>
      <c r="I368" s="244">
        <f t="shared" si="253"/>
        <v>30</v>
      </c>
      <c r="J368" s="244">
        <f t="shared" si="253"/>
        <v>30</v>
      </c>
      <c r="K368" s="244">
        <f t="shared" si="253"/>
        <v>30</v>
      </c>
      <c r="L368" s="244">
        <f t="shared" si="253"/>
        <v>30</v>
      </c>
      <c r="M368" s="244">
        <f t="shared" si="253"/>
        <v>30</v>
      </c>
      <c r="N368" s="244">
        <f t="shared" si="253"/>
        <v>30</v>
      </c>
      <c r="O368" s="244">
        <f t="shared" si="253"/>
        <v>30</v>
      </c>
      <c r="P368" s="244">
        <f t="shared" si="253"/>
        <v>30</v>
      </c>
    </row>
    <row r="369" spans="1:16" x14ac:dyDescent="0.2">
      <c r="A369" s="370" t="str">
        <f t="shared" si="251"/>
        <v>Средно време за път към и от площадката за разтоварване</v>
      </c>
      <c r="B369" s="235"/>
      <c r="C369" s="235"/>
      <c r="D369" s="357" t="s">
        <v>30</v>
      </c>
      <c r="E369" s="253">
        <f t="shared" ref="E369:P369" si="254">+E367*2/E368</f>
        <v>0.66666666666666663</v>
      </c>
      <c r="F369" s="253">
        <f t="shared" si="254"/>
        <v>0.66666666666666663</v>
      </c>
      <c r="G369" s="253">
        <f t="shared" si="254"/>
        <v>0.66666666666666663</v>
      </c>
      <c r="H369" s="253">
        <f t="shared" si="254"/>
        <v>0.66666666666666663</v>
      </c>
      <c r="I369" s="253">
        <f t="shared" si="254"/>
        <v>0.66666666666666663</v>
      </c>
      <c r="J369" s="253">
        <f t="shared" si="254"/>
        <v>0.66666666666666663</v>
      </c>
      <c r="K369" s="253">
        <f t="shared" si="254"/>
        <v>0.66666666666666663</v>
      </c>
      <c r="L369" s="253">
        <f t="shared" si="254"/>
        <v>0.66666666666666663</v>
      </c>
      <c r="M369" s="253">
        <f t="shared" si="254"/>
        <v>0.66666666666666663</v>
      </c>
      <c r="N369" s="253">
        <f t="shared" si="254"/>
        <v>0.66666666666666663</v>
      </c>
      <c r="O369" s="253">
        <f t="shared" si="254"/>
        <v>0.66666666666666663</v>
      </c>
      <c r="P369" s="253">
        <f t="shared" si="254"/>
        <v>0.66666666666666663</v>
      </c>
    </row>
    <row r="370" spans="1:16" s="373" customFormat="1" x14ac:dyDescent="0.2">
      <c r="A370" s="370" t="str">
        <f t="shared" si="251"/>
        <v>Средно време на площадката за разтоварване</v>
      </c>
      <c r="B370" s="370"/>
      <c r="C370" s="370"/>
      <c r="D370" s="357" t="s">
        <v>30</v>
      </c>
      <c r="E370" s="374">
        <f>E294</f>
        <v>0.5</v>
      </c>
      <c r="F370" s="374">
        <f t="shared" ref="F370:P370" si="255">E370</f>
        <v>0.5</v>
      </c>
      <c r="G370" s="374">
        <f t="shared" si="255"/>
        <v>0.5</v>
      </c>
      <c r="H370" s="374">
        <f t="shared" si="255"/>
        <v>0.5</v>
      </c>
      <c r="I370" s="374">
        <f t="shared" si="255"/>
        <v>0.5</v>
      </c>
      <c r="J370" s="374">
        <f t="shared" si="255"/>
        <v>0.5</v>
      </c>
      <c r="K370" s="374">
        <f t="shared" si="255"/>
        <v>0.5</v>
      </c>
      <c r="L370" s="374">
        <f t="shared" si="255"/>
        <v>0.5</v>
      </c>
      <c r="M370" s="374">
        <f t="shared" si="255"/>
        <v>0.5</v>
      </c>
      <c r="N370" s="374">
        <f t="shared" si="255"/>
        <v>0.5</v>
      </c>
      <c r="O370" s="374">
        <f t="shared" si="255"/>
        <v>0.5</v>
      </c>
      <c r="P370" s="374">
        <f t="shared" si="255"/>
        <v>0.5</v>
      </c>
    </row>
    <row r="371" spans="1:16" x14ac:dyDescent="0.2">
      <c r="A371" s="370" t="str">
        <f t="shared" si="251"/>
        <v>Общо време за пътуване/курс</v>
      </c>
      <c r="B371" s="235"/>
      <c r="C371" s="235"/>
      <c r="D371" s="357" t="s">
        <v>30</v>
      </c>
      <c r="E371" s="253">
        <f t="shared" ref="E371:P371" si="256">+E370+E369</f>
        <v>1.1666666666666665</v>
      </c>
      <c r="F371" s="253">
        <f t="shared" si="256"/>
        <v>1.1666666666666665</v>
      </c>
      <c r="G371" s="253">
        <f t="shared" si="256"/>
        <v>1.1666666666666665</v>
      </c>
      <c r="H371" s="253">
        <f t="shared" si="256"/>
        <v>1.1666666666666665</v>
      </c>
      <c r="I371" s="253">
        <f t="shared" si="256"/>
        <v>1.1666666666666665</v>
      </c>
      <c r="J371" s="253">
        <f t="shared" si="256"/>
        <v>1.1666666666666665</v>
      </c>
      <c r="K371" s="253">
        <f t="shared" si="256"/>
        <v>1.1666666666666665</v>
      </c>
      <c r="L371" s="253">
        <f t="shared" si="256"/>
        <v>1.1666666666666665</v>
      </c>
      <c r="M371" s="253">
        <f t="shared" si="256"/>
        <v>1.1666666666666665</v>
      </c>
      <c r="N371" s="253">
        <f t="shared" si="256"/>
        <v>1.1666666666666665</v>
      </c>
      <c r="O371" s="253">
        <f t="shared" si="256"/>
        <v>1.1666666666666665</v>
      </c>
      <c r="P371" s="253">
        <f t="shared" si="256"/>
        <v>1.1666666666666665</v>
      </c>
    </row>
    <row r="372" spans="1:16" x14ac:dyDescent="0.2">
      <c r="A372" s="370" t="str">
        <f t="shared" si="251"/>
        <v>Време за натоварване за един контейнер</v>
      </c>
      <c r="B372" s="235"/>
      <c r="C372" s="235"/>
      <c r="D372" s="357" t="s">
        <v>68</v>
      </c>
      <c r="E372" s="253">
        <f>E296</f>
        <v>1.5</v>
      </c>
      <c r="F372" s="253">
        <f t="shared" ref="F372:P372" si="257">+E372</f>
        <v>1.5</v>
      </c>
      <c r="G372" s="253">
        <f t="shared" si="257"/>
        <v>1.5</v>
      </c>
      <c r="H372" s="253">
        <f t="shared" si="257"/>
        <v>1.5</v>
      </c>
      <c r="I372" s="253">
        <f t="shared" si="257"/>
        <v>1.5</v>
      </c>
      <c r="J372" s="253">
        <f t="shared" si="257"/>
        <v>1.5</v>
      </c>
      <c r="K372" s="253">
        <f t="shared" si="257"/>
        <v>1.5</v>
      </c>
      <c r="L372" s="253">
        <f t="shared" si="257"/>
        <v>1.5</v>
      </c>
      <c r="M372" s="253">
        <f t="shared" si="257"/>
        <v>1.5</v>
      </c>
      <c r="N372" s="253">
        <f t="shared" si="257"/>
        <v>1.5</v>
      </c>
      <c r="O372" s="253">
        <f t="shared" si="257"/>
        <v>1.5</v>
      </c>
      <c r="P372" s="253">
        <f t="shared" si="257"/>
        <v>1.5</v>
      </c>
    </row>
    <row r="373" spans="1:16" x14ac:dyDescent="0.2">
      <c r="A373" s="370" t="str">
        <f t="shared" si="251"/>
        <v>Средно количество отпадъци от вдигнат контейнер</v>
      </c>
      <c r="B373" s="235"/>
      <c r="C373" s="235"/>
      <c r="D373" s="357" t="s">
        <v>43</v>
      </c>
      <c r="E373" s="254">
        <f t="shared" ref="E373:P373" si="258">+E354</f>
        <v>3.7515070124469099E-2</v>
      </c>
      <c r="F373" s="254">
        <f t="shared" si="258"/>
        <v>3.7515070124469099E-2</v>
      </c>
      <c r="G373" s="254">
        <f t="shared" si="258"/>
        <v>3.7515070124469099E-2</v>
      </c>
      <c r="H373" s="254">
        <f t="shared" si="258"/>
        <v>3.7515070124469099E-2</v>
      </c>
      <c r="I373" s="254">
        <f t="shared" si="258"/>
        <v>3.7515070124469099E-2</v>
      </c>
      <c r="J373" s="254">
        <f t="shared" si="258"/>
        <v>3.7515070124469099E-2</v>
      </c>
      <c r="K373" s="254">
        <f t="shared" si="258"/>
        <v>3.7515070124469099E-2</v>
      </c>
      <c r="L373" s="254">
        <f t="shared" si="258"/>
        <v>3.7515070124469099E-2</v>
      </c>
      <c r="M373" s="254">
        <f t="shared" si="258"/>
        <v>3.7515070124469099E-2</v>
      </c>
      <c r="N373" s="254">
        <f t="shared" si="258"/>
        <v>3.7515070124469099E-2</v>
      </c>
      <c r="O373" s="254">
        <f t="shared" si="258"/>
        <v>3.7515070124469099E-2</v>
      </c>
      <c r="P373" s="254">
        <f t="shared" si="258"/>
        <v>3.7515070124469099E-2</v>
      </c>
    </row>
    <row r="374" spans="1:16" x14ac:dyDescent="0.2">
      <c r="A374" s="370" t="str">
        <f t="shared" si="251"/>
        <v>Товаримост на час</v>
      </c>
      <c r="B374" s="235"/>
      <c r="C374" s="235"/>
      <c r="D374" s="357" t="s">
        <v>70</v>
      </c>
      <c r="E374" s="253">
        <f t="shared" ref="E374:P374" si="259">+E373*60/E372</f>
        <v>1.5006028049787641</v>
      </c>
      <c r="F374" s="253">
        <f t="shared" si="259"/>
        <v>1.5006028049787641</v>
      </c>
      <c r="G374" s="253">
        <f t="shared" si="259"/>
        <v>1.5006028049787641</v>
      </c>
      <c r="H374" s="253">
        <f t="shared" si="259"/>
        <v>1.5006028049787641</v>
      </c>
      <c r="I374" s="253">
        <f t="shared" si="259"/>
        <v>1.5006028049787641</v>
      </c>
      <c r="J374" s="253">
        <f t="shared" si="259"/>
        <v>1.5006028049787641</v>
      </c>
      <c r="K374" s="253">
        <f t="shared" si="259"/>
        <v>1.5006028049787641</v>
      </c>
      <c r="L374" s="253">
        <f t="shared" si="259"/>
        <v>1.5006028049787641</v>
      </c>
      <c r="M374" s="253">
        <f t="shared" si="259"/>
        <v>1.5006028049787641</v>
      </c>
      <c r="N374" s="253">
        <f t="shared" si="259"/>
        <v>1.5006028049787641</v>
      </c>
      <c r="O374" s="253">
        <f t="shared" si="259"/>
        <v>1.5006028049787641</v>
      </c>
      <c r="P374" s="253">
        <f t="shared" si="259"/>
        <v>1.5006028049787641</v>
      </c>
    </row>
    <row r="375" spans="1:16" x14ac:dyDescent="0.2">
      <c r="A375" s="370" t="str">
        <f t="shared" si="251"/>
        <v>Време за натоварване напълно на автомобила</v>
      </c>
      <c r="B375" s="235"/>
      <c r="C375" s="235"/>
      <c r="D375" s="357" t="s">
        <v>30</v>
      </c>
      <c r="E375" s="253">
        <f t="shared" ref="E375:P375" si="260">IF(E374=0,0,+E363/E374)</f>
        <v>2.7189073527406467</v>
      </c>
      <c r="F375" s="253">
        <f t="shared" si="260"/>
        <v>2.7189073527406467</v>
      </c>
      <c r="G375" s="253">
        <f t="shared" si="260"/>
        <v>2.7189073527406467</v>
      </c>
      <c r="H375" s="253">
        <f t="shared" si="260"/>
        <v>2.7189073527406467</v>
      </c>
      <c r="I375" s="253">
        <f t="shared" si="260"/>
        <v>2.7189073527406467</v>
      </c>
      <c r="J375" s="253">
        <f t="shared" si="260"/>
        <v>2.7189073527406467</v>
      </c>
      <c r="K375" s="253">
        <f t="shared" si="260"/>
        <v>2.7189073527406467</v>
      </c>
      <c r="L375" s="253">
        <f t="shared" si="260"/>
        <v>2.7189073527406467</v>
      </c>
      <c r="M375" s="253">
        <f t="shared" si="260"/>
        <v>2.7189073527406467</v>
      </c>
      <c r="N375" s="253">
        <f t="shared" si="260"/>
        <v>2.7189073527406467</v>
      </c>
      <c r="O375" s="253">
        <f t="shared" si="260"/>
        <v>2.7189073527406467</v>
      </c>
      <c r="P375" s="253">
        <f t="shared" si="260"/>
        <v>2.7189073527406467</v>
      </c>
    </row>
    <row r="376" spans="1:16" x14ac:dyDescent="0.2">
      <c r="A376" s="370" t="str">
        <f t="shared" si="251"/>
        <v>Време за натоварване напълно за първия курс</v>
      </c>
      <c r="B376" s="235"/>
      <c r="C376" s="235"/>
      <c r="D376" s="357" t="s">
        <v>30</v>
      </c>
      <c r="E376" s="253">
        <f t="shared" ref="E376:P376" si="261">IF(E373=0,0,IF(E363/E373*E372/60&gt;E332-E371,E332-E371,E363/E373*E372/60))</f>
        <v>2.7189073527406467</v>
      </c>
      <c r="F376" s="253">
        <f t="shared" si="261"/>
        <v>2.7189073527406467</v>
      </c>
      <c r="G376" s="253">
        <f t="shared" si="261"/>
        <v>2.7189073527406467</v>
      </c>
      <c r="H376" s="253">
        <f t="shared" si="261"/>
        <v>2.7189073527406467</v>
      </c>
      <c r="I376" s="253">
        <f t="shared" si="261"/>
        <v>2.7189073527406467</v>
      </c>
      <c r="J376" s="253">
        <f t="shared" si="261"/>
        <v>2.7189073527406467</v>
      </c>
      <c r="K376" s="253">
        <f t="shared" si="261"/>
        <v>2.7189073527406467</v>
      </c>
      <c r="L376" s="253">
        <f t="shared" si="261"/>
        <v>2.7189073527406467</v>
      </c>
      <c r="M376" s="253">
        <f t="shared" si="261"/>
        <v>2.7189073527406467</v>
      </c>
      <c r="N376" s="253">
        <f t="shared" si="261"/>
        <v>2.7189073527406467</v>
      </c>
      <c r="O376" s="253">
        <f t="shared" si="261"/>
        <v>2.7189073527406467</v>
      </c>
      <c r="P376" s="253">
        <f t="shared" si="261"/>
        <v>2.7189073527406467</v>
      </c>
    </row>
    <row r="377" spans="1:16" outlineLevel="1" x14ac:dyDescent="0.2">
      <c r="A377" s="370" t="str">
        <f t="shared" si="251"/>
        <v>Общо време за първия курс</v>
      </c>
      <c r="B377" s="235"/>
      <c r="C377" s="235"/>
      <c r="D377" s="357" t="s">
        <v>30</v>
      </c>
      <c r="E377" s="253">
        <f t="shared" ref="E377:P377" si="262">+E376+E371</f>
        <v>3.8855740194073132</v>
      </c>
      <c r="F377" s="253">
        <f t="shared" si="262"/>
        <v>3.8855740194073132</v>
      </c>
      <c r="G377" s="253">
        <f t="shared" si="262"/>
        <v>3.8855740194073132</v>
      </c>
      <c r="H377" s="253">
        <f t="shared" si="262"/>
        <v>3.8855740194073132</v>
      </c>
      <c r="I377" s="253">
        <f t="shared" si="262"/>
        <v>3.8855740194073132</v>
      </c>
      <c r="J377" s="253">
        <f t="shared" si="262"/>
        <v>3.8855740194073132</v>
      </c>
      <c r="K377" s="253">
        <f t="shared" si="262"/>
        <v>3.8855740194073132</v>
      </c>
      <c r="L377" s="253">
        <f t="shared" si="262"/>
        <v>3.8855740194073132</v>
      </c>
      <c r="M377" s="253">
        <f t="shared" si="262"/>
        <v>3.8855740194073132</v>
      </c>
      <c r="N377" s="253">
        <f t="shared" si="262"/>
        <v>3.8855740194073132</v>
      </c>
      <c r="O377" s="253">
        <f t="shared" si="262"/>
        <v>3.8855740194073132</v>
      </c>
      <c r="P377" s="253">
        <f t="shared" si="262"/>
        <v>3.8855740194073132</v>
      </c>
    </row>
    <row r="378" spans="1:16" x14ac:dyDescent="0.2">
      <c r="A378" s="370" t="str">
        <f t="shared" si="251"/>
        <v>Буферно време</v>
      </c>
      <c r="B378" s="235">
        <f>B302</f>
        <v>0.5</v>
      </c>
      <c r="C378" s="235" t="s">
        <v>30</v>
      </c>
      <c r="D378" s="357" t="s">
        <v>30</v>
      </c>
      <c r="E378" s="252">
        <f>B378</f>
        <v>0.5</v>
      </c>
      <c r="F378" s="252">
        <f t="shared" ref="F378:P378" si="263">+E378</f>
        <v>0.5</v>
      </c>
      <c r="G378" s="252">
        <f t="shared" si="263"/>
        <v>0.5</v>
      </c>
      <c r="H378" s="252">
        <f t="shared" si="263"/>
        <v>0.5</v>
      </c>
      <c r="I378" s="252">
        <f t="shared" si="263"/>
        <v>0.5</v>
      </c>
      <c r="J378" s="252">
        <f t="shared" si="263"/>
        <v>0.5</v>
      </c>
      <c r="K378" s="252">
        <f t="shared" si="263"/>
        <v>0.5</v>
      </c>
      <c r="L378" s="252">
        <f t="shared" si="263"/>
        <v>0.5</v>
      </c>
      <c r="M378" s="252">
        <f t="shared" si="263"/>
        <v>0.5</v>
      </c>
      <c r="N378" s="252">
        <f t="shared" si="263"/>
        <v>0.5</v>
      </c>
      <c r="O378" s="252">
        <f t="shared" si="263"/>
        <v>0.5</v>
      </c>
      <c r="P378" s="252">
        <f t="shared" si="263"/>
        <v>0.5</v>
      </c>
    </row>
    <row r="379" spans="1:16" x14ac:dyDescent="0.2">
      <c r="A379" s="370" t="str">
        <f t="shared" si="251"/>
        <v>Остатъчно време за втори курс</v>
      </c>
      <c r="B379" s="235"/>
      <c r="C379" s="235"/>
      <c r="D379" s="357" t="s">
        <v>30</v>
      </c>
      <c r="E379" s="255">
        <f t="shared" ref="E379:P379" si="264">+E332*E333-E377</f>
        <v>4.1144259805926868</v>
      </c>
      <c r="F379" s="255">
        <f t="shared" si="264"/>
        <v>4.1144259805926868</v>
      </c>
      <c r="G379" s="255">
        <f t="shared" si="264"/>
        <v>4.1144259805926868</v>
      </c>
      <c r="H379" s="255">
        <f t="shared" si="264"/>
        <v>4.1144259805926868</v>
      </c>
      <c r="I379" s="255">
        <f t="shared" si="264"/>
        <v>4.1144259805926868</v>
      </c>
      <c r="J379" s="255">
        <f t="shared" si="264"/>
        <v>4.1144259805926868</v>
      </c>
      <c r="K379" s="255">
        <f t="shared" si="264"/>
        <v>4.1144259805926868</v>
      </c>
      <c r="L379" s="255">
        <f t="shared" si="264"/>
        <v>4.1144259805926868</v>
      </c>
      <c r="M379" s="255">
        <f t="shared" si="264"/>
        <v>4.1144259805926868</v>
      </c>
      <c r="N379" s="255">
        <f t="shared" si="264"/>
        <v>4.1144259805926868</v>
      </c>
      <c r="O379" s="255">
        <f t="shared" si="264"/>
        <v>4.1144259805926868</v>
      </c>
      <c r="P379" s="255">
        <f t="shared" si="264"/>
        <v>4.1144259805926868</v>
      </c>
    </row>
    <row r="380" spans="1:16" x14ac:dyDescent="0.2">
      <c r="A380" s="370" t="str">
        <f t="shared" si="251"/>
        <v>Време за натоварване ако остава такова</v>
      </c>
      <c r="B380" s="235"/>
      <c r="C380" s="235"/>
      <c r="D380" s="357" t="s">
        <v>30</v>
      </c>
      <c r="E380" s="255">
        <f t="shared" ref="E380:P380" si="265">+IF(E379-E371&gt;E378,IF(E379-E371&gt;E376,E376,E379-E371),0)</f>
        <v>2.7189073527406467</v>
      </c>
      <c r="F380" s="255">
        <f t="shared" si="265"/>
        <v>2.7189073527406467</v>
      </c>
      <c r="G380" s="255">
        <f t="shared" si="265"/>
        <v>2.7189073527406467</v>
      </c>
      <c r="H380" s="255">
        <f t="shared" si="265"/>
        <v>2.7189073527406467</v>
      </c>
      <c r="I380" s="255">
        <f t="shared" si="265"/>
        <v>2.7189073527406467</v>
      </c>
      <c r="J380" s="255">
        <f t="shared" si="265"/>
        <v>2.7189073527406467</v>
      </c>
      <c r="K380" s="255">
        <f t="shared" si="265"/>
        <v>2.7189073527406467</v>
      </c>
      <c r="L380" s="255">
        <f t="shared" si="265"/>
        <v>2.7189073527406467</v>
      </c>
      <c r="M380" s="255">
        <f t="shared" si="265"/>
        <v>2.7189073527406467</v>
      </c>
      <c r="N380" s="255">
        <f t="shared" si="265"/>
        <v>2.7189073527406467</v>
      </c>
      <c r="O380" s="255">
        <f t="shared" si="265"/>
        <v>2.7189073527406467</v>
      </c>
      <c r="P380" s="255">
        <f t="shared" si="265"/>
        <v>2.7189073527406467</v>
      </c>
    </row>
    <row r="381" spans="1:16" x14ac:dyDescent="0.2">
      <c r="A381" s="370" t="str">
        <f t="shared" si="251"/>
        <v>Остатъчно време за трети курс</v>
      </c>
      <c r="B381" s="235"/>
      <c r="C381" s="235"/>
      <c r="D381" s="357" t="s">
        <v>30</v>
      </c>
      <c r="E381" s="255">
        <f t="shared" ref="E381:P381" si="266">+IF(E380&gt;0,E379-E380-E371,0)</f>
        <v>0.22885196118537365</v>
      </c>
      <c r="F381" s="255">
        <f t="shared" si="266"/>
        <v>0.22885196118537365</v>
      </c>
      <c r="G381" s="255">
        <f t="shared" si="266"/>
        <v>0.22885196118537365</v>
      </c>
      <c r="H381" s="255">
        <f t="shared" si="266"/>
        <v>0.22885196118537365</v>
      </c>
      <c r="I381" s="255">
        <f t="shared" si="266"/>
        <v>0.22885196118537365</v>
      </c>
      <c r="J381" s="255">
        <f t="shared" si="266"/>
        <v>0.22885196118537365</v>
      </c>
      <c r="K381" s="255">
        <f t="shared" si="266"/>
        <v>0.22885196118537365</v>
      </c>
      <c r="L381" s="255">
        <f t="shared" si="266"/>
        <v>0.22885196118537365</v>
      </c>
      <c r="M381" s="255">
        <f t="shared" si="266"/>
        <v>0.22885196118537365</v>
      </c>
      <c r="N381" s="255">
        <f t="shared" si="266"/>
        <v>0.22885196118537365</v>
      </c>
      <c r="O381" s="255">
        <f t="shared" si="266"/>
        <v>0.22885196118537365</v>
      </c>
      <c r="P381" s="255">
        <f t="shared" si="266"/>
        <v>0.22885196118537365</v>
      </c>
    </row>
    <row r="382" spans="1:16" x14ac:dyDescent="0.2">
      <c r="A382" s="370" t="str">
        <f t="shared" si="251"/>
        <v>Време за натоварване ако остава такова</v>
      </c>
      <c r="B382" s="235"/>
      <c r="C382" s="235"/>
      <c r="D382" s="357" t="s">
        <v>30</v>
      </c>
      <c r="E382" s="255">
        <f t="shared" ref="E382:P382" si="267">+IF(E381-E371&gt;E378,IF(E381-E371&gt;E376,E376,E381-E371),0)</f>
        <v>0</v>
      </c>
      <c r="F382" s="255">
        <f t="shared" si="267"/>
        <v>0</v>
      </c>
      <c r="G382" s="255">
        <f t="shared" si="267"/>
        <v>0</v>
      </c>
      <c r="H382" s="255">
        <f t="shared" si="267"/>
        <v>0</v>
      </c>
      <c r="I382" s="255">
        <f t="shared" si="267"/>
        <v>0</v>
      </c>
      <c r="J382" s="255">
        <f t="shared" si="267"/>
        <v>0</v>
      </c>
      <c r="K382" s="255">
        <f t="shared" si="267"/>
        <v>0</v>
      </c>
      <c r="L382" s="255">
        <f t="shared" si="267"/>
        <v>0</v>
      </c>
      <c r="M382" s="255">
        <f t="shared" si="267"/>
        <v>0</v>
      </c>
      <c r="N382" s="255">
        <f t="shared" si="267"/>
        <v>0</v>
      </c>
      <c r="O382" s="255">
        <f t="shared" si="267"/>
        <v>0</v>
      </c>
      <c r="P382" s="255">
        <f t="shared" si="267"/>
        <v>0</v>
      </c>
    </row>
    <row r="383" spans="1:16" x14ac:dyDescent="0.2">
      <c r="A383" s="370" t="str">
        <f t="shared" si="251"/>
        <v>Остатъчно време за четвърти курс</v>
      </c>
      <c r="B383" s="235"/>
      <c r="C383" s="235"/>
      <c r="D383" s="357" t="s">
        <v>30</v>
      </c>
      <c r="E383" s="255">
        <f t="shared" ref="E383:P383" si="268">+IF(E382&gt;0,E381-E382-E371,0)</f>
        <v>0</v>
      </c>
      <c r="F383" s="255">
        <f t="shared" si="268"/>
        <v>0</v>
      </c>
      <c r="G383" s="255">
        <f t="shared" si="268"/>
        <v>0</v>
      </c>
      <c r="H383" s="255">
        <f t="shared" si="268"/>
        <v>0</v>
      </c>
      <c r="I383" s="255">
        <f t="shared" si="268"/>
        <v>0</v>
      </c>
      <c r="J383" s="255">
        <f t="shared" si="268"/>
        <v>0</v>
      </c>
      <c r="K383" s="255">
        <f t="shared" si="268"/>
        <v>0</v>
      </c>
      <c r="L383" s="255">
        <f t="shared" si="268"/>
        <v>0</v>
      </c>
      <c r="M383" s="255">
        <f t="shared" si="268"/>
        <v>0</v>
      </c>
      <c r="N383" s="255">
        <f t="shared" si="268"/>
        <v>0</v>
      </c>
      <c r="O383" s="255">
        <f t="shared" si="268"/>
        <v>0</v>
      </c>
      <c r="P383" s="255">
        <f t="shared" si="268"/>
        <v>0</v>
      </c>
    </row>
    <row r="384" spans="1:16" x14ac:dyDescent="0.2">
      <c r="A384" s="370" t="str">
        <f t="shared" si="251"/>
        <v>Време за натоварване ако остава такова</v>
      </c>
      <c r="B384" s="235"/>
      <c r="C384" s="235"/>
      <c r="D384" s="357" t="s">
        <v>30</v>
      </c>
      <c r="E384" s="255">
        <f t="shared" ref="E384:P384" si="269">+IF(E383-E371&gt;E378,IF(E383-E371&gt;E376,E376,E383-E371),0)</f>
        <v>0</v>
      </c>
      <c r="F384" s="255">
        <f t="shared" si="269"/>
        <v>0</v>
      </c>
      <c r="G384" s="255">
        <f t="shared" si="269"/>
        <v>0</v>
      </c>
      <c r="H384" s="255">
        <f t="shared" si="269"/>
        <v>0</v>
      </c>
      <c r="I384" s="255">
        <f t="shared" si="269"/>
        <v>0</v>
      </c>
      <c r="J384" s="255">
        <f t="shared" si="269"/>
        <v>0</v>
      </c>
      <c r="K384" s="255">
        <f t="shared" si="269"/>
        <v>0</v>
      </c>
      <c r="L384" s="255">
        <f t="shared" si="269"/>
        <v>0</v>
      </c>
      <c r="M384" s="255">
        <f t="shared" si="269"/>
        <v>0</v>
      </c>
      <c r="N384" s="255">
        <f t="shared" si="269"/>
        <v>0</v>
      </c>
      <c r="O384" s="255">
        <f t="shared" si="269"/>
        <v>0</v>
      </c>
      <c r="P384" s="255">
        <f t="shared" si="269"/>
        <v>0</v>
      </c>
    </row>
    <row r="385" spans="1:16" x14ac:dyDescent="0.2">
      <c r="A385" s="370" t="str">
        <f t="shared" si="251"/>
        <v>Остатъчно време за пети курс</v>
      </c>
      <c r="B385" s="235"/>
      <c r="C385" s="235"/>
      <c r="D385" s="357" t="s">
        <v>30</v>
      </c>
      <c r="E385" s="255">
        <f t="shared" ref="E385:P385" si="270">+IF(E384&gt;0,E383-E384-E371,0)</f>
        <v>0</v>
      </c>
      <c r="F385" s="255">
        <f t="shared" si="270"/>
        <v>0</v>
      </c>
      <c r="G385" s="255">
        <f t="shared" si="270"/>
        <v>0</v>
      </c>
      <c r="H385" s="255">
        <f t="shared" si="270"/>
        <v>0</v>
      </c>
      <c r="I385" s="255">
        <f t="shared" si="270"/>
        <v>0</v>
      </c>
      <c r="J385" s="255">
        <f t="shared" si="270"/>
        <v>0</v>
      </c>
      <c r="K385" s="255">
        <f t="shared" si="270"/>
        <v>0</v>
      </c>
      <c r="L385" s="255">
        <f t="shared" si="270"/>
        <v>0</v>
      </c>
      <c r="M385" s="255">
        <f t="shared" si="270"/>
        <v>0</v>
      </c>
      <c r="N385" s="255">
        <f t="shared" si="270"/>
        <v>0</v>
      </c>
      <c r="O385" s="255">
        <f t="shared" si="270"/>
        <v>0</v>
      </c>
      <c r="P385" s="255">
        <f t="shared" si="270"/>
        <v>0</v>
      </c>
    </row>
    <row r="386" spans="1:16" x14ac:dyDescent="0.2">
      <c r="A386" s="370" t="str">
        <f t="shared" si="251"/>
        <v>Време за натоварване ако остава такова</v>
      </c>
      <c r="B386" s="235"/>
      <c r="C386" s="235"/>
      <c r="D386" s="357" t="s">
        <v>30</v>
      </c>
      <c r="E386" s="255">
        <f t="shared" ref="E386:P386" si="271">+IF(E385-E371&gt;E378,IF(E385-E371&gt;E376,E376,E385-E371),0)</f>
        <v>0</v>
      </c>
      <c r="F386" s="255">
        <f t="shared" si="271"/>
        <v>0</v>
      </c>
      <c r="G386" s="255">
        <f t="shared" si="271"/>
        <v>0</v>
      </c>
      <c r="H386" s="255">
        <f t="shared" si="271"/>
        <v>0</v>
      </c>
      <c r="I386" s="255">
        <f t="shared" si="271"/>
        <v>0</v>
      </c>
      <c r="J386" s="255">
        <f t="shared" si="271"/>
        <v>0</v>
      </c>
      <c r="K386" s="255">
        <f t="shared" si="271"/>
        <v>0</v>
      </c>
      <c r="L386" s="255">
        <f t="shared" si="271"/>
        <v>0</v>
      </c>
      <c r="M386" s="255">
        <f t="shared" si="271"/>
        <v>0</v>
      </c>
      <c r="N386" s="255">
        <f t="shared" si="271"/>
        <v>0</v>
      </c>
      <c r="O386" s="255">
        <f t="shared" si="271"/>
        <v>0</v>
      </c>
      <c r="P386" s="255">
        <f t="shared" si="271"/>
        <v>0</v>
      </c>
    </row>
    <row r="387" spans="1:16" x14ac:dyDescent="0.2">
      <c r="A387" s="370"/>
      <c r="B387" s="235"/>
      <c r="C387" s="235"/>
      <c r="D387" s="357"/>
      <c r="E387" s="253"/>
      <c r="F387" s="253"/>
      <c r="G387" s="253"/>
      <c r="H387" s="253"/>
      <c r="I387" s="253"/>
      <c r="J387" s="253"/>
      <c r="K387" s="253"/>
      <c r="L387" s="253"/>
      <c r="M387" s="253"/>
      <c r="N387" s="253"/>
      <c r="O387" s="253"/>
      <c r="P387" s="253"/>
    </row>
    <row r="388" spans="1:16" x14ac:dyDescent="0.2">
      <c r="A388" s="370" t="str">
        <f t="shared" si="251"/>
        <v>Среден брой курсове дневно</v>
      </c>
      <c r="B388" s="235"/>
      <c r="C388" s="235"/>
      <c r="D388" s="357" t="s">
        <v>81</v>
      </c>
      <c r="E388" s="253">
        <f t="shared" ref="E388:P388" si="272">IF(E375=0,0,+(E386+E384+E382+E380+E376)/E375)</f>
        <v>2</v>
      </c>
      <c r="F388" s="253">
        <f t="shared" si="272"/>
        <v>2</v>
      </c>
      <c r="G388" s="253">
        <f t="shared" si="272"/>
        <v>2</v>
      </c>
      <c r="H388" s="253">
        <f t="shared" si="272"/>
        <v>2</v>
      </c>
      <c r="I388" s="253">
        <f t="shared" si="272"/>
        <v>2</v>
      </c>
      <c r="J388" s="253">
        <f t="shared" si="272"/>
        <v>2</v>
      </c>
      <c r="K388" s="253">
        <f t="shared" si="272"/>
        <v>2</v>
      </c>
      <c r="L388" s="253">
        <f t="shared" si="272"/>
        <v>2</v>
      </c>
      <c r="M388" s="253">
        <f t="shared" si="272"/>
        <v>2</v>
      </c>
      <c r="N388" s="253">
        <f t="shared" si="272"/>
        <v>2</v>
      </c>
      <c r="O388" s="253">
        <f t="shared" si="272"/>
        <v>2</v>
      </c>
      <c r="P388" s="253">
        <f t="shared" si="272"/>
        <v>2</v>
      </c>
    </row>
    <row r="389" spans="1:16" x14ac:dyDescent="0.2">
      <c r="A389" s="370" t="str">
        <f t="shared" si="251"/>
        <v>Средно количество събрани отпадъци дневно</v>
      </c>
      <c r="B389" s="235"/>
      <c r="C389" s="235"/>
      <c r="D389" s="357" t="s">
        <v>82</v>
      </c>
      <c r="E389" s="253">
        <f t="shared" ref="E389:P389" si="273">+E388*E363</f>
        <v>8.16</v>
      </c>
      <c r="F389" s="253">
        <f t="shared" si="273"/>
        <v>8.16</v>
      </c>
      <c r="G389" s="253">
        <f t="shared" si="273"/>
        <v>8.16</v>
      </c>
      <c r="H389" s="253">
        <f t="shared" si="273"/>
        <v>8.16</v>
      </c>
      <c r="I389" s="253">
        <f t="shared" si="273"/>
        <v>8.16</v>
      </c>
      <c r="J389" s="253">
        <f t="shared" si="273"/>
        <v>8.16</v>
      </c>
      <c r="K389" s="253">
        <f t="shared" si="273"/>
        <v>8.16</v>
      </c>
      <c r="L389" s="253">
        <f t="shared" si="273"/>
        <v>8.16</v>
      </c>
      <c r="M389" s="253">
        <f t="shared" si="273"/>
        <v>8.16</v>
      </c>
      <c r="N389" s="253">
        <f t="shared" si="273"/>
        <v>8.16</v>
      </c>
      <c r="O389" s="253">
        <f t="shared" si="273"/>
        <v>8.16</v>
      </c>
      <c r="P389" s="253">
        <f t="shared" si="273"/>
        <v>8.16</v>
      </c>
    </row>
    <row r="390" spans="1:16" x14ac:dyDescent="0.2">
      <c r="A390" s="235"/>
      <c r="B390" s="235"/>
      <c r="C390" s="235"/>
      <c r="D390" s="357"/>
      <c r="E390" s="246"/>
      <c r="F390" s="246"/>
      <c r="G390" s="246"/>
      <c r="H390" s="246"/>
      <c r="I390" s="246"/>
      <c r="J390" s="246"/>
      <c r="K390" s="246"/>
      <c r="L390" s="246"/>
      <c r="M390" s="246"/>
      <c r="N390" s="246"/>
      <c r="O390" s="246"/>
      <c r="P390" s="246"/>
    </row>
    <row r="391" spans="1:16" ht="13.5" customHeight="1" x14ac:dyDescent="0.2">
      <c r="A391" s="239" t="s">
        <v>52</v>
      </c>
      <c r="B391" s="239"/>
      <c r="C391" s="239"/>
      <c r="D391" s="357"/>
      <c r="E391" s="236"/>
      <c r="F391" s="236"/>
      <c r="G391" s="236"/>
      <c r="H391" s="236"/>
      <c r="I391" s="236"/>
      <c r="J391" s="236"/>
      <c r="K391" s="236"/>
      <c r="L391" s="238"/>
      <c r="M391" s="238"/>
      <c r="N391" s="238"/>
      <c r="O391" s="238"/>
      <c r="P391" s="235"/>
    </row>
    <row r="392" spans="1:16" x14ac:dyDescent="0.2">
      <c r="A392" s="370" t="str">
        <f>A89</f>
        <v>Необходими автомобили за събиране, включително резерви</v>
      </c>
      <c r="B392" s="235"/>
      <c r="C392" s="235"/>
      <c r="D392" s="357" t="s">
        <v>84</v>
      </c>
      <c r="E392" s="252">
        <f t="shared" ref="E392:P392" si="274">E393/E364</f>
        <v>0.70530062633084922</v>
      </c>
      <c r="F392" s="252">
        <f t="shared" si="274"/>
        <v>0.70530062633084922</v>
      </c>
      <c r="G392" s="252">
        <f t="shared" si="274"/>
        <v>0.70530062633084922</v>
      </c>
      <c r="H392" s="252">
        <f t="shared" si="274"/>
        <v>0.70530062633084922</v>
      </c>
      <c r="I392" s="252">
        <f t="shared" si="274"/>
        <v>0.70530062633084922</v>
      </c>
      <c r="J392" s="252">
        <f t="shared" si="274"/>
        <v>0.70530062633084922</v>
      </c>
      <c r="K392" s="252">
        <f t="shared" si="274"/>
        <v>0.70530062633084922</v>
      </c>
      <c r="L392" s="252">
        <f t="shared" si="274"/>
        <v>0.70530062633084922</v>
      </c>
      <c r="M392" s="252">
        <f t="shared" si="274"/>
        <v>0.70530062633084922</v>
      </c>
      <c r="N392" s="252">
        <f t="shared" si="274"/>
        <v>0.70530062633084922</v>
      </c>
      <c r="O392" s="252">
        <f t="shared" si="274"/>
        <v>0.70530062633084922</v>
      </c>
      <c r="P392" s="252">
        <f t="shared" si="274"/>
        <v>0.70530062633084922</v>
      </c>
    </row>
    <row r="393" spans="1:16" x14ac:dyDescent="0.2">
      <c r="A393" s="370" t="str">
        <f>A90</f>
        <v>Автомобили за събиране в действие</v>
      </c>
      <c r="B393" s="239"/>
      <c r="C393" s="239"/>
      <c r="D393" s="357" t="s">
        <v>84</v>
      </c>
      <c r="E393" s="252">
        <f t="shared" ref="E393:P393" si="275">IF(E389=0,0,E324/E341/E389)</f>
        <v>0.59950553238122184</v>
      </c>
      <c r="F393" s="252">
        <f t="shared" si="275"/>
        <v>0.59950553238122184</v>
      </c>
      <c r="G393" s="252">
        <f t="shared" si="275"/>
        <v>0.59950553238122184</v>
      </c>
      <c r="H393" s="252">
        <f t="shared" si="275"/>
        <v>0.59950553238122184</v>
      </c>
      <c r="I393" s="252">
        <f t="shared" si="275"/>
        <v>0.59950553238122184</v>
      </c>
      <c r="J393" s="252">
        <f t="shared" si="275"/>
        <v>0.59950553238122184</v>
      </c>
      <c r="K393" s="252">
        <f t="shared" si="275"/>
        <v>0.59950553238122184</v>
      </c>
      <c r="L393" s="252">
        <f t="shared" si="275"/>
        <v>0.59950553238122184</v>
      </c>
      <c r="M393" s="252">
        <f t="shared" si="275"/>
        <v>0.59950553238122184</v>
      </c>
      <c r="N393" s="252">
        <f t="shared" si="275"/>
        <v>0.59950553238122184</v>
      </c>
      <c r="O393" s="252">
        <f t="shared" si="275"/>
        <v>0.59950553238122184</v>
      </c>
      <c r="P393" s="252">
        <f t="shared" si="275"/>
        <v>0.59950553238122184</v>
      </c>
    </row>
    <row r="394" spans="1:16" x14ac:dyDescent="0.2">
      <c r="A394" s="370" t="str">
        <f>A91</f>
        <v>Необходим брой нови автомобили за събиране</v>
      </c>
      <c r="B394" s="256"/>
      <c r="C394" s="235"/>
      <c r="D394" s="357" t="s">
        <v>84</v>
      </c>
      <c r="E394" s="257">
        <f t="shared" ref="E394:P394" si="276">+ROUNDUP(E392,1)</f>
        <v>0.79999999999999993</v>
      </c>
      <c r="F394" s="257">
        <f t="shared" si="276"/>
        <v>0.79999999999999993</v>
      </c>
      <c r="G394" s="257">
        <f t="shared" si="276"/>
        <v>0.79999999999999993</v>
      </c>
      <c r="H394" s="257">
        <f t="shared" si="276"/>
        <v>0.79999999999999993</v>
      </c>
      <c r="I394" s="257">
        <f t="shared" si="276"/>
        <v>0.79999999999999993</v>
      </c>
      <c r="J394" s="257">
        <f t="shared" si="276"/>
        <v>0.79999999999999993</v>
      </c>
      <c r="K394" s="257">
        <f t="shared" si="276"/>
        <v>0.79999999999999993</v>
      </c>
      <c r="L394" s="257">
        <f t="shared" si="276"/>
        <v>0.79999999999999993</v>
      </c>
      <c r="M394" s="257">
        <f t="shared" si="276"/>
        <v>0.79999999999999993</v>
      </c>
      <c r="N394" s="257">
        <f t="shared" si="276"/>
        <v>0.79999999999999993</v>
      </c>
      <c r="O394" s="257">
        <f t="shared" si="276"/>
        <v>0.79999999999999993</v>
      </c>
      <c r="P394" s="257">
        <f t="shared" si="276"/>
        <v>0.79999999999999993</v>
      </c>
    </row>
    <row r="395" spans="1:16" x14ac:dyDescent="0.2">
      <c r="B395" s="90"/>
      <c r="D395" s="359"/>
      <c r="E395" s="91"/>
      <c r="F395" s="91"/>
      <c r="G395" s="91"/>
      <c r="H395" s="91"/>
      <c r="I395" s="91"/>
      <c r="J395" s="91"/>
      <c r="K395" s="91"/>
      <c r="L395" s="91"/>
      <c r="M395" s="91"/>
      <c r="N395" s="91"/>
      <c r="O395" s="91"/>
      <c r="P395" s="91"/>
    </row>
    <row r="396" spans="1:16" ht="18.75" x14ac:dyDescent="0.3">
      <c r="A396" s="453" t="s">
        <v>219</v>
      </c>
      <c r="B396" s="453" t="str">
        <f>'Изходни данни'!A6</f>
        <v>големи населени места (повече от 3000 жители)</v>
      </c>
      <c r="C396" s="258"/>
      <c r="D396" s="366"/>
      <c r="E396" s="259"/>
      <c r="F396" s="259"/>
      <c r="G396" s="259"/>
      <c r="H396" s="259"/>
      <c r="I396" s="259"/>
      <c r="J396" s="259"/>
      <c r="K396" s="259"/>
      <c r="L396" s="258"/>
      <c r="M396" s="258"/>
      <c r="N396" s="258"/>
      <c r="O396" s="258"/>
      <c r="P396" s="258"/>
    </row>
    <row r="397" spans="1:16" x14ac:dyDescent="0.2">
      <c r="D397" s="359"/>
      <c r="L397" s="83"/>
      <c r="M397" s="83"/>
      <c r="N397" s="83"/>
      <c r="O397" s="83"/>
      <c r="P397" s="83"/>
    </row>
    <row r="398" spans="1:16" x14ac:dyDescent="0.2">
      <c r="A398" s="378" t="str">
        <f>A19</f>
        <v>Обслужвано население</v>
      </c>
      <c r="B398" s="260"/>
      <c r="C398" s="260"/>
      <c r="D398" s="367"/>
      <c r="E398" s="263">
        <f t="shared" ref="E398:P398" si="277">E10</f>
        <v>25000</v>
      </c>
      <c r="F398" s="263">
        <f t="shared" si="277"/>
        <v>25000</v>
      </c>
      <c r="G398" s="263">
        <f t="shared" si="277"/>
        <v>25000</v>
      </c>
      <c r="H398" s="263">
        <f t="shared" si="277"/>
        <v>25000</v>
      </c>
      <c r="I398" s="263">
        <f t="shared" si="277"/>
        <v>25000</v>
      </c>
      <c r="J398" s="263">
        <f t="shared" si="277"/>
        <v>25000</v>
      </c>
      <c r="K398" s="263">
        <f t="shared" si="277"/>
        <v>25000</v>
      </c>
      <c r="L398" s="263">
        <f t="shared" si="277"/>
        <v>25000</v>
      </c>
      <c r="M398" s="263">
        <f t="shared" si="277"/>
        <v>25000</v>
      </c>
      <c r="N398" s="263">
        <f t="shared" si="277"/>
        <v>25000</v>
      </c>
      <c r="O398" s="263">
        <f t="shared" si="277"/>
        <v>25000</v>
      </c>
      <c r="P398" s="263">
        <f t="shared" si="277"/>
        <v>25000</v>
      </c>
    </row>
    <row r="399" spans="1:16" x14ac:dyDescent="0.2">
      <c r="A399" s="260"/>
      <c r="B399" s="260"/>
      <c r="C399" s="260"/>
      <c r="D399" s="358"/>
      <c r="E399" s="261"/>
      <c r="F399" s="261"/>
      <c r="G399" s="261"/>
      <c r="H399" s="261"/>
      <c r="I399" s="261"/>
      <c r="J399" s="261"/>
      <c r="K399" s="261"/>
      <c r="L399" s="261"/>
      <c r="M399" s="261"/>
      <c r="N399" s="261"/>
      <c r="O399" s="261"/>
      <c r="P399" s="261"/>
    </row>
    <row r="400" spans="1:16" x14ac:dyDescent="0.2">
      <c r="A400" s="262" t="s">
        <v>21</v>
      </c>
      <c r="B400" s="262"/>
      <c r="C400" s="262"/>
      <c r="D400" s="358" t="s">
        <v>22</v>
      </c>
      <c r="E400" s="263">
        <f t="shared" ref="E400:P400" si="278">E401+E402+E403</f>
        <v>663.25</v>
      </c>
      <c r="F400" s="263">
        <f t="shared" si="278"/>
        <v>663.25</v>
      </c>
      <c r="G400" s="263">
        <f t="shared" si="278"/>
        <v>663.25</v>
      </c>
      <c r="H400" s="263">
        <f t="shared" si="278"/>
        <v>663.25</v>
      </c>
      <c r="I400" s="263">
        <f t="shared" si="278"/>
        <v>663.25</v>
      </c>
      <c r="J400" s="263">
        <f t="shared" si="278"/>
        <v>663.25</v>
      </c>
      <c r="K400" s="263">
        <f t="shared" si="278"/>
        <v>663.25</v>
      </c>
      <c r="L400" s="263">
        <f t="shared" si="278"/>
        <v>663.25</v>
      </c>
      <c r="M400" s="263">
        <f t="shared" si="278"/>
        <v>663.25</v>
      </c>
      <c r="N400" s="263">
        <f t="shared" si="278"/>
        <v>663.25</v>
      </c>
      <c r="O400" s="263">
        <f t="shared" si="278"/>
        <v>663.25</v>
      </c>
      <c r="P400" s="263">
        <f t="shared" si="278"/>
        <v>663.25</v>
      </c>
    </row>
    <row r="401" spans="1:16" x14ac:dyDescent="0.2">
      <c r="A401" s="371" t="str">
        <f>A22</f>
        <v>Отпадъци от домакинствата</v>
      </c>
      <c r="B401" s="260"/>
      <c r="C401" s="260"/>
      <c r="D401" s="358" t="s">
        <v>24</v>
      </c>
      <c r="E401" s="265">
        <f>'Масов баланс'!E354</f>
        <v>525</v>
      </c>
      <c r="F401" s="265">
        <f>'Масов баланс'!F354</f>
        <v>525</v>
      </c>
      <c r="G401" s="265">
        <f>'Масов баланс'!G354</f>
        <v>525</v>
      </c>
      <c r="H401" s="265">
        <f>'Масов баланс'!H354</f>
        <v>525</v>
      </c>
      <c r="I401" s="265">
        <f>'Масов баланс'!I354</f>
        <v>525</v>
      </c>
      <c r="J401" s="265">
        <f>'Масов баланс'!J354</f>
        <v>525</v>
      </c>
      <c r="K401" s="265">
        <f>'Масов баланс'!K354</f>
        <v>525</v>
      </c>
      <c r="L401" s="265">
        <f>'Масов баланс'!L354</f>
        <v>525</v>
      </c>
      <c r="M401" s="265">
        <f>'Масов баланс'!M354</f>
        <v>525</v>
      </c>
      <c r="N401" s="265">
        <f>'Масов баланс'!N354</f>
        <v>525</v>
      </c>
      <c r="O401" s="265">
        <f>'Масов баланс'!O354</f>
        <v>525</v>
      </c>
      <c r="P401" s="265">
        <f>'Масов баланс'!P354</f>
        <v>525</v>
      </c>
    </row>
    <row r="402" spans="1:16" x14ac:dyDescent="0.2">
      <c r="A402" s="371" t="str">
        <f t="shared" ref="A402:A418" si="279">A23</f>
        <v>Отпадъци от търговски обекти и юридически лица, събирани съвместно с отпадъците от домакинствата</v>
      </c>
      <c r="B402" s="260"/>
      <c r="C402" s="260"/>
      <c r="D402" s="358" t="s">
        <v>24</v>
      </c>
      <c r="E402" s="265">
        <f>'Масов баланс'!E355</f>
        <v>112</v>
      </c>
      <c r="F402" s="265">
        <f>'Масов баланс'!F355</f>
        <v>112</v>
      </c>
      <c r="G402" s="265">
        <f>'Масов баланс'!G355</f>
        <v>112</v>
      </c>
      <c r="H402" s="265">
        <f>'Масов баланс'!H355</f>
        <v>112</v>
      </c>
      <c r="I402" s="265">
        <f>'Масов баланс'!I355</f>
        <v>112</v>
      </c>
      <c r="J402" s="265">
        <f>'Масов баланс'!J355</f>
        <v>112</v>
      </c>
      <c r="K402" s="265">
        <f>'Масов баланс'!K355</f>
        <v>112</v>
      </c>
      <c r="L402" s="265">
        <f>'Масов баланс'!L355</f>
        <v>112</v>
      </c>
      <c r="M402" s="265">
        <f>'Масов баланс'!M355</f>
        <v>112</v>
      </c>
      <c r="N402" s="265">
        <f>'Масов баланс'!N355</f>
        <v>112</v>
      </c>
      <c r="O402" s="265">
        <f>'Масов баланс'!O355</f>
        <v>112</v>
      </c>
      <c r="P402" s="265">
        <f>'Масов баланс'!P355</f>
        <v>112</v>
      </c>
    </row>
    <row r="403" spans="1:16" x14ac:dyDescent="0.2">
      <c r="A403" s="371" t="str">
        <f t="shared" si="279"/>
        <v>Смесени отпадъци и други примеси изхвърлени в контейнерите за разделно събиране</v>
      </c>
      <c r="B403" s="260"/>
      <c r="C403" s="260"/>
      <c r="D403" s="358" t="s">
        <v>24</v>
      </c>
      <c r="E403" s="265">
        <f>'Масов баланс'!E357</f>
        <v>26.25</v>
      </c>
      <c r="F403" s="265">
        <f>'Масов баланс'!F357</f>
        <v>26.25</v>
      </c>
      <c r="G403" s="265">
        <f>'Масов баланс'!G357</f>
        <v>26.25</v>
      </c>
      <c r="H403" s="265">
        <f>'Масов баланс'!H357</f>
        <v>26.25</v>
      </c>
      <c r="I403" s="265">
        <f>'Масов баланс'!I357</f>
        <v>26.25</v>
      </c>
      <c r="J403" s="265">
        <f>'Масов баланс'!J357</f>
        <v>26.25</v>
      </c>
      <c r="K403" s="265">
        <f>'Масов баланс'!K357</f>
        <v>26.25</v>
      </c>
      <c r="L403" s="265">
        <f>'Масов баланс'!L357</f>
        <v>26.25</v>
      </c>
      <c r="M403" s="265">
        <f>'Масов баланс'!M357</f>
        <v>26.25</v>
      </c>
      <c r="N403" s="265">
        <f>'Масов баланс'!N357</f>
        <v>26.25</v>
      </c>
      <c r="O403" s="265">
        <f>'Масов баланс'!O357</f>
        <v>26.25</v>
      </c>
      <c r="P403" s="265">
        <f>'Масов баланс'!P357</f>
        <v>26.25</v>
      </c>
    </row>
    <row r="404" spans="1:16" x14ac:dyDescent="0.2">
      <c r="A404" s="371" t="str">
        <f t="shared" si="279"/>
        <v>% отпадъци от търговски обекти</v>
      </c>
      <c r="B404" s="260"/>
      <c r="C404" s="260"/>
      <c r="D404" s="358"/>
      <c r="E404" s="266">
        <f t="shared" ref="E404:P404" si="280">IF(E400&lt;1,0,E402/E400)</f>
        <v>0.16886543535620052</v>
      </c>
      <c r="F404" s="266">
        <f t="shared" si="280"/>
        <v>0.16886543535620052</v>
      </c>
      <c r="G404" s="266">
        <f t="shared" si="280"/>
        <v>0.16886543535620052</v>
      </c>
      <c r="H404" s="266">
        <f t="shared" si="280"/>
        <v>0.16886543535620052</v>
      </c>
      <c r="I404" s="266">
        <f t="shared" si="280"/>
        <v>0.16886543535620052</v>
      </c>
      <c r="J404" s="266">
        <f t="shared" si="280"/>
        <v>0.16886543535620052</v>
      </c>
      <c r="K404" s="266">
        <f t="shared" si="280"/>
        <v>0.16886543535620052</v>
      </c>
      <c r="L404" s="266">
        <f t="shared" si="280"/>
        <v>0.16886543535620052</v>
      </c>
      <c r="M404" s="266">
        <f t="shared" si="280"/>
        <v>0.16886543535620052</v>
      </c>
      <c r="N404" s="266">
        <f t="shared" si="280"/>
        <v>0.16886543535620052</v>
      </c>
      <c r="O404" s="266">
        <f t="shared" si="280"/>
        <v>0.16886543535620052</v>
      </c>
      <c r="P404" s="266">
        <f t="shared" si="280"/>
        <v>0.16886543535620052</v>
      </c>
    </row>
    <row r="405" spans="1:16" x14ac:dyDescent="0.2">
      <c r="A405" s="371"/>
      <c r="B405" s="267"/>
      <c r="C405" s="260"/>
      <c r="D405" s="368"/>
      <c r="E405" s="265"/>
      <c r="F405" s="265"/>
      <c r="G405" s="265"/>
      <c r="H405" s="265"/>
      <c r="I405" s="265"/>
      <c r="J405" s="265"/>
      <c r="K405" s="265"/>
      <c r="L405" s="265"/>
      <c r="M405" s="268"/>
      <c r="N405" s="268"/>
      <c r="O405" s="261"/>
      <c r="P405" s="261"/>
    </row>
    <row r="406" spans="1:16" x14ac:dyDescent="0.2">
      <c r="A406" s="378" t="str">
        <f t="shared" si="279"/>
        <v>Допускания</v>
      </c>
      <c r="B406" s="260"/>
      <c r="C406" s="260"/>
      <c r="D406" s="358"/>
      <c r="E406" s="265"/>
      <c r="F406" s="265"/>
      <c r="G406" s="265"/>
      <c r="H406" s="265"/>
      <c r="I406" s="265"/>
      <c r="J406" s="265"/>
      <c r="K406" s="265"/>
      <c r="L406" s="268"/>
      <c r="M406" s="268"/>
      <c r="N406" s="268"/>
      <c r="O406" s="261"/>
      <c r="P406" s="261"/>
    </row>
    <row r="407" spans="1:16" x14ac:dyDescent="0.2">
      <c r="A407" s="371" t="str">
        <f t="shared" si="279"/>
        <v>Работни дни седмично</v>
      </c>
      <c r="B407" s="260"/>
      <c r="C407" s="260"/>
      <c r="D407" s="358" t="s">
        <v>28</v>
      </c>
      <c r="E407" s="260">
        <f>E179</f>
        <v>5</v>
      </c>
      <c r="F407" s="260">
        <f t="shared" ref="F407:P407" si="281">E407</f>
        <v>5</v>
      </c>
      <c r="G407" s="260">
        <f t="shared" si="281"/>
        <v>5</v>
      </c>
      <c r="H407" s="260">
        <f t="shared" si="281"/>
        <v>5</v>
      </c>
      <c r="I407" s="260">
        <f t="shared" si="281"/>
        <v>5</v>
      </c>
      <c r="J407" s="260">
        <f t="shared" si="281"/>
        <v>5</v>
      </c>
      <c r="K407" s="260">
        <f t="shared" si="281"/>
        <v>5</v>
      </c>
      <c r="L407" s="260">
        <f t="shared" si="281"/>
        <v>5</v>
      </c>
      <c r="M407" s="260">
        <f t="shared" si="281"/>
        <v>5</v>
      </c>
      <c r="N407" s="260">
        <f t="shared" si="281"/>
        <v>5</v>
      </c>
      <c r="O407" s="260">
        <f t="shared" si="281"/>
        <v>5</v>
      </c>
      <c r="P407" s="260">
        <f t="shared" si="281"/>
        <v>5</v>
      </c>
    </row>
    <row r="408" spans="1:16" x14ac:dyDescent="0.2">
      <c r="A408" s="371" t="str">
        <f t="shared" si="279"/>
        <v>Ефективни работни часове на смяна</v>
      </c>
      <c r="B408" s="260"/>
      <c r="C408" s="260"/>
      <c r="D408" s="358" t="s">
        <v>30</v>
      </c>
      <c r="E408" s="260">
        <f>E180</f>
        <v>8</v>
      </c>
      <c r="F408" s="260">
        <f t="shared" ref="F408:P408" si="282">E408</f>
        <v>8</v>
      </c>
      <c r="G408" s="260">
        <f t="shared" si="282"/>
        <v>8</v>
      </c>
      <c r="H408" s="260">
        <f t="shared" si="282"/>
        <v>8</v>
      </c>
      <c r="I408" s="260">
        <f t="shared" si="282"/>
        <v>8</v>
      </c>
      <c r="J408" s="260">
        <f t="shared" si="282"/>
        <v>8</v>
      </c>
      <c r="K408" s="260">
        <f t="shared" si="282"/>
        <v>8</v>
      </c>
      <c r="L408" s="260">
        <f t="shared" si="282"/>
        <v>8</v>
      </c>
      <c r="M408" s="260">
        <f t="shared" si="282"/>
        <v>8</v>
      </c>
      <c r="N408" s="260">
        <f t="shared" si="282"/>
        <v>8</v>
      </c>
      <c r="O408" s="260">
        <f t="shared" si="282"/>
        <v>8</v>
      </c>
      <c r="P408" s="260">
        <f t="shared" si="282"/>
        <v>8</v>
      </c>
    </row>
    <row r="409" spans="1:16" x14ac:dyDescent="0.2">
      <c r="A409" s="371" t="str">
        <f t="shared" si="279"/>
        <v>Брой смени</v>
      </c>
      <c r="B409" s="260"/>
      <c r="C409" s="260"/>
      <c r="D409" s="358" t="s">
        <v>32</v>
      </c>
      <c r="E409" s="260">
        <f>E181</f>
        <v>1</v>
      </c>
      <c r="F409" s="260">
        <f t="shared" ref="F409:P409" si="283">E409</f>
        <v>1</v>
      </c>
      <c r="G409" s="260">
        <f t="shared" si="283"/>
        <v>1</v>
      </c>
      <c r="H409" s="260">
        <f t="shared" si="283"/>
        <v>1</v>
      </c>
      <c r="I409" s="260">
        <f t="shared" si="283"/>
        <v>1</v>
      </c>
      <c r="J409" s="260">
        <f t="shared" si="283"/>
        <v>1</v>
      </c>
      <c r="K409" s="260">
        <f t="shared" si="283"/>
        <v>1</v>
      </c>
      <c r="L409" s="260">
        <f t="shared" si="283"/>
        <v>1</v>
      </c>
      <c r="M409" s="260">
        <f t="shared" si="283"/>
        <v>1</v>
      </c>
      <c r="N409" s="260">
        <f t="shared" si="283"/>
        <v>1</v>
      </c>
      <c r="O409" s="260">
        <f t="shared" si="283"/>
        <v>1</v>
      </c>
      <c r="P409" s="260">
        <f t="shared" si="283"/>
        <v>1</v>
      </c>
    </row>
    <row r="410" spans="1:16" x14ac:dyDescent="0.2">
      <c r="A410" s="371"/>
      <c r="B410" s="260"/>
      <c r="C410" s="260"/>
      <c r="D410" s="358"/>
      <c r="E410" s="260"/>
      <c r="F410" s="260"/>
      <c r="G410" s="260"/>
      <c r="H410" s="260"/>
      <c r="I410" s="260"/>
      <c r="J410" s="260"/>
      <c r="K410" s="260"/>
      <c r="L410" s="260"/>
      <c r="M410" s="260"/>
      <c r="N410" s="260"/>
      <c r="O410" s="260"/>
      <c r="P410" s="260"/>
    </row>
    <row r="411" spans="1:16" x14ac:dyDescent="0.2">
      <c r="A411" s="378" t="str">
        <f t="shared" si="279"/>
        <v>Персонал</v>
      </c>
      <c r="B411" s="260"/>
      <c r="C411" s="260"/>
      <c r="D411" s="358"/>
      <c r="E411" s="260"/>
      <c r="F411" s="260"/>
      <c r="G411" s="260"/>
      <c r="H411" s="260"/>
      <c r="I411" s="260"/>
      <c r="J411" s="260"/>
      <c r="K411" s="260"/>
      <c r="L411" s="260"/>
      <c r="M411" s="260"/>
      <c r="N411" s="260"/>
      <c r="O411" s="260"/>
      <c r="P411" s="260"/>
    </row>
    <row r="412" spans="1:16" x14ac:dyDescent="0.2">
      <c r="A412" s="371" t="str">
        <f t="shared" si="279"/>
        <v>Работни седмици в годината</v>
      </c>
      <c r="B412" s="260"/>
      <c r="C412" s="260"/>
      <c r="D412" s="358" t="s">
        <v>34</v>
      </c>
      <c r="E412" s="260">
        <f>E184</f>
        <v>46</v>
      </c>
      <c r="F412" s="260">
        <v>46</v>
      </c>
      <c r="G412" s="260">
        <v>46</v>
      </c>
      <c r="H412" s="260">
        <v>46</v>
      </c>
      <c r="I412" s="260">
        <v>46</v>
      </c>
      <c r="J412" s="260">
        <v>46</v>
      </c>
      <c r="K412" s="260">
        <v>46</v>
      </c>
      <c r="L412" s="260">
        <v>46</v>
      </c>
      <c r="M412" s="260">
        <v>46</v>
      </c>
      <c r="N412" s="260">
        <v>46</v>
      </c>
      <c r="O412" s="260">
        <v>46</v>
      </c>
      <c r="P412" s="260">
        <v>46</v>
      </c>
    </row>
    <row r="413" spans="1:16" x14ac:dyDescent="0.2">
      <c r="A413" s="371" t="str">
        <f t="shared" si="279"/>
        <v>Работни дни седмично</v>
      </c>
      <c r="B413" s="260"/>
      <c r="C413" s="260"/>
      <c r="D413" s="358" t="s">
        <v>28</v>
      </c>
      <c r="E413" s="260">
        <f>E185</f>
        <v>5</v>
      </c>
      <c r="F413" s="260">
        <v>5</v>
      </c>
      <c r="G413" s="260">
        <v>5</v>
      </c>
      <c r="H413" s="260">
        <v>5</v>
      </c>
      <c r="I413" s="260">
        <v>5</v>
      </c>
      <c r="J413" s="260">
        <v>5</v>
      </c>
      <c r="K413" s="260">
        <v>5</v>
      </c>
      <c r="L413" s="260">
        <v>5</v>
      </c>
      <c r="M413" s="260">
        <v>5</v>
      </c>
      <c r="N413" s="260">
        <v>5</v>
      </c>
      <c r="O413" s="260">
        <v>5</v>
      </c>
      <c r="P413" s="260">
        <v>5</v>
      </c>
    </row>
    <row r="414" spans="1:16" x14ac:dyDescent="0.2">
      <c r="A414" s="371" t="str">
        <f t="shared" si="279"/>
        <v>Болнични</v>
      </c>
      <c r="B414" s="260"/>
      <c r="C414" s="260"/>
      <c r="D414" s="358"/>
      <c r="E414" s="271">
        <f>E186</f>
        <v>0.05</v>
      </c>
      <c r="F414" s="271">
        <v>0.05</v>
      </c>
      <c r="G414" s="271">
        <v>0.05</v>
      </c>
      <c r="H414" s="271">
        <v>0.05</v>
      </c>
      <c r="I414" s="271">
        <v>0.05</v>
      </c>
      <c r="J414" s="271">
        <v>0.05</v>
      </c>
      <c r="K414" s="271">
        <v>0.05</v>
      </c>
      <c r="L414" s="271">
        <v>0.05</v>
      </c>
      <c r="M414" s="271">
        <v>0.05</v>
      </c>
      <c r="N414" s="271">
        <v>0.05</v>
      </c>
      <c r="O414" s="271">
        <v>0.05</v>
      </c>
      <c r="P414" s="271">
        <v>0.05</v>
      </c>
    </row>
    <row r="415" spans="1:16" x14ac:dyDescent="0.2">
      <c r="A415" s="371" t="str">
        <f t="shared" si="279"/>
        <v>Работни дни в годината</v>
      </c>
      <c r="B415" s="260"/>
      <c r="C415" s="260"/>
      <c r="D415" s="358" t="s">
        <v>37</v>
      </c>
      <c r="E415" s="260">
        <f t="shared" ref="E415:P415" si="284">+E412*E413*(1-E414)</f>
        <v>218.5</v>
      </c>
      <c r="F415" s="260">
        <f t="shared" si="284"/>
        <v>218.5</v>
      </c>
      <c r="G415" s="260">
        <f t="shared" si="284"/>
        <v>218.5</v>
      </c>
      <c r="H415" s="260">
        <f t="shared" si="284"/>
        <v>218.5</v>
      </c>
      <c r="I415" s="260">
        <f t="shared" si="284"/>
        <v>218.5</v>
      </c>
      <c r="J415" s="260">
        <f t="shared" si="284"/>
        <v>218.5</v>
      </c>
      <c r="K415" s="260">
        <f t="shared" si="284"/>
        <v>218.5</v>
      </c>
      <c r="L415" s="260">
        <f t="shared" si="284"/>
        <v>218.5</v>
      </c>
      <c r="M415" s="260">
        <f t="shared" si="284"/>
        <v>218.5</v>
      </c>
      <c r="N415" s="260">
        <f t="shared" si="284"/>
        <v>218.5</v>
      </c>
      <c r="O415" s="260">
        <f t="shared" si="284"/>
        <v>218.5</v>
      </c>
      <c r="P415" s="260">
        <f t="shared" si="284"/>
        <v>218.5</v>
      </c>
    </row>
    <row r="416" spans="1:16" x14ac:dyDescent="0.2">
      <c r="A416" s="371" t="str">
        <f t="shared" si="279"/>
        <v>Работни дни седмично</v>
      </c>
      <c r="B416" s="260"/>
      <c r="C416" s="260"/>
      <c r="D416" s="358" t="s">
        <v>28</v>
      </c>
      <c r="E416" s="260">
        <f t="shared" ref="E416:P416" si="285">+E407</f>
        <v>5</v>
      </c>
      <c r="F416" s="260">
        <f t="shared" si="285"/>
        <v>5</v>
      </c>
      <c r="G416" s="260">
        <f t="shared" si="285"/>
        <v>5</v>
      </c>
      <c r="H416" s="260">
        <f t="shared" si="285"/>
        <v>5</v>
      </c>
      <c r="I416" s="260">
        <f t="shared" si="285"/>
        <v>5</v>
      </c>
      <c r="J416" s="260">
        <f t="shared" si="285"/>
        <v>5</v>
      </c>
      <c r="K416" s="260">
        <f t="shared" si="285"/>
        <v>5</v>
      </c>
      <c r="L416" s="260">
        <f t="shared" si="285"/>
        <v>5</v>
      </c>
      <c r="M416" s="260">
        <f t="shared" si="285"/>
        <v>5</v>
      </c>
      <c r="N416" s="260">
        <f t="shared" si="285"/>
        <v>5</v>
      </c>
      <c r="O416" s="260">
        <f t="shared" si="285"/>
        <v>5</v>
      </c>
      <c r="P416" s="260">
        <f t="shared" si="285"/>
        <v>5</v>
      </c>
    </row>
    <row r="417" spans="1:16" x14ac:dyDescent="0.2">
      <c r="A417" s="371" t="str">
        <f t="shared" si="279"/>
        <v>Необходими работни дни</v>
      </c>
      <c r="B417" s="260"/>
      <c r="C417" s="260"/>
      <c r="D417" s="358" t="s">
        <v>37</v>
      </c>
      <c r="E417" s="260">
        <f t="shared" ref="E417:P417" si="286">52*E416</f>
        <v>260</v>
      </c>
      <c r="F417" s="260">
        <f t="shared" si="286"/>
        <v>260</v>
      </c>
      <c r="G417" s="260">
        <f t="shared" si="286"/>
        <v>260</v>
      </c>
      <c r="H417" s="260">
        <f t="shared" si="286"/>
        <v>260</v>
      </c>
      <c r="I417" s="260">
        <f t="shared" si="286"/>
        <v>260</v>
      </c>
      <c r="J417" s="260">
        <f t="shared" si="286"/>
        <v>260</v>
      </c>
      <c r="K417" s="260">
        <f t="shared" si="286"/>
        <v>260</v>
      </c>
      <c r="L417" s="260">
        <f t="shared" si="286"/>
        <v>260</v>
      </c>
      <c r="M417" s="260">
        <f t="shared" si="286"/>
        <v>260</v>
      </c>
      <c r="N417" s="260">
        <f t="shared" si="286"/>
        <v>260</v>
      </c>
      <c r="O417" s="260">
        <f t="shared" si="286"/>
        <v>260</v>
      </c>
      <c r="P417" s="260">
        <f t="shared" si="286"/>
        <v>260</v>
      </c>
    </row>
    <row r="418" spans="1:16" x14ac:dyDescent="0.2">
      <c r="A418" s="371" t="str">
        <f t="shared" si="279"/>
        <v>Човешки фактор</v>
      </c>
      <c r="B418" s="260"/>
      <c r="C418" s="260"/>
      <c r="D418" s="358"/>
      <c r="E418" s="271">
        <f t="shared" ref="E418:P418" si="287">+E417/E415</f>
        <v>1.1899313501144164</v>
      </c>
      <c r="F418" s="271">
        <f t="shared" si="287"/>
        <v>1.1899313501144164</v>
      </c>
      <c r="G418" s="271">
        <f t="shared" si="287"/>
        <v>1.1899313501144164</v>
      </c>
      <c r="H418" s="271">
        <f t="shared" si="287"/>
        <v>1.1899313501144164</v>
      </c>
      <c r="I418" s="271">
        <f t="shared" si="287"/>
        <v>1.1899313501144164</v>
      </c>
      <c r="J418" s="271">
        <f t="shared" si="287"/>
        <v>1.1899313501144164</v>
      </c>
      <c r="K418" s="271">
        <f t="shared" si="287"/>
        <v>1.1899313501144164</v>
      </c>
      <c r="L418" s="271">
        <f t="shared" si="287"/>
        <v>1.1899313501144164</v>
      </c>
      <c r="M418" s="271">
        <f t="shared" si="287"/>
        <v>1.1899313501144164</v>
      </c>
      <c r="N418" s="271">
        <f t="shared" si="287"/>
        <v>1.1899313501144164</v>
      </c>
      <c r="O418" s="271">
        <f t="shared" si="287"/>
        <v>1.1899313501144164</v>
      </c>
      <c r="P418" s="271">
        <f t="shared" si="287"/>
        <v>1.1899313501144164</v>
      </c>
    </row>
    <row r="419" spans="1:16" x14ac:dyDescent="0.2">
      <c r="A419" s="260"/>
      <c r="B419" s="260"/>
      <c r="C419" s="260"/>
      <c r="D419" s="358"/>
      <c r="E419" s="261"/>
      <c r="F419" s="261"/>
      <c r="G419" s="261"/>
      <c r="H419" s="261"/>
      <c r="I419" s="261"/>
      <c r="J419" s="261"/>
      <c r="K419" s="261"/>
      <c r="L419" s="260"/>
      <c r="M419" s="260"/>
      <c r="N419" s="260"/>
      <c r="O419" s="260"/>
      <c r="P419" s="260"/>
    </row>
    <row r="420" spans="1:16" x14ac:dyDescent="0.2">
      <c r="A420" s="262" t="s">
        <v>40</v>
      </c>
      <c r="B420" s="260"/>
      <c r="C420" s="260"/>
      <c r="D420" s="358"/>
      <c r="E420" s="272"/>
      <c r="F420" s="272"/>
      <c r="G420" s="272"/>
      <c r="H420" s="272"/>
      <c r="I420" s="272"/>
      <c r="J420" s="272"/>
      <c r="K420" s="272"/>
      <c r="L420" s="272"/>
      <c r="M420" s="272"/>
      <c r="N420" s="272"/>
      <c r="O420" s="272"/>
      <c r="P420" s="272"/>
    </row>
    <row r="421" spans="1:16" x14ac:dyDescent="0.2">
      <c r="A421" s="371" t="str">
        <f t="shared" ref="A421:A470" si="288">A42</f>
        <v>Плътност на отпадъците</v>
      </c>
      <c r="B421" s="260"/>
      <c r="C421" s="260"/>
      <c r="D421" s="358" t="s">
        <v>41</v>
      </c>
      <c r="E421" s="268">
        <f>'Масов баланс'!E352</f>
        <v>0.35</v>
      </c>
      <c r="F421" s="268">
        <f>'Масов баланс'!F352</f>
        <v>0.35</v>
      </c>
      <c r="G421" s="268">
        <f>'Масов баланс'!G352</f>
        <v>0.35</v>
      </c>
      <c r="H421" s="268">
        <f>'Масов баланс'!H352</f>
        <v>0.35</v>
      </c>
      <c r="I421" s="268">
        <f>'Масов баланс'!I352</f>
        <v>0.35</v>
      </c>
      <c r="J421" s="268">
        <f>'Масов баланс'!J352</f>
        <v>0.35</v>
      </c>
      <c r="K421" s="268">
        <f>'Масов баланс'!K352</f>
        <v>0.35</v>
      </c>
      <c r="L421" s="268">
        <f>'Масов баланс'!L352</f>
        <v>0.35</v>
      </c>
      <c r="M421" s="268">
        <f>'Масов баланс'!M352</f>
        <v>0.35</v>
      </c>
      <c r="N421" s="268">
        <f>'Масов баланс'!N352</f>
        <v>0.35</v>
      </c>
      <c r="O421" s="268">
        <f>'Масов баланс'!O352</f>
        <v>0.35</v>
      </c>
      <c r="P421" s="268">
        <f>'Масов баланс'!P352</f>
        <v>0.35</v>
      </c>
    </row>
    <row r="422" spans="1:16" ht="15" x14ac:dyDescent="0.2">
      <c r="A422" s="371" t="str">
        <f t="shared" si="288"/>
        <v>Обем на отпадъците</v>
      </c>
      <c r="B422" s="260"/>
      <c r="C422" s="260"/>
      <c r="D422" s="358" t="s">
        <v>202</v>
      </c>
      <c r="E422" s="260">
        <f t="shared" ref="E422:P422" si="289">IF(E400=0,0,E400/E421)</f>
        <v>1895.0000000000002</v>
      </c>
      <c r="F422" s="273">
        <f t="shared" si="289"/>
        <v>1895.0000000000002</v>
      </c>
      <c r="G422" s="273">
        <f t="shared" si="289"/>
        <v>1895.0000000000002</v>
      </c>
      <c r="H422" s="273">
        <f t="shared" si="289"/>
        <v>1895.0000000000002</v>
      </c>
      <c r="I422" s="273">
        <f t="shared" si="289"/>
        <v>1895.0000000000002</v>
      </c>
      <c r="J422" s="273">
        <f t="shared" si="289"/>
        <v>1895.0000000000002</v>
      </c>
      <c r="K422" s="273">
        <f t="shared" si="289"/>
        <v>1895.0000000000002</v>
      </c>
      <c r="L422" s="273">
        <f t="shared" si="289"/>
        <v>1895.0000000000002</v>
      </c>
      <c r="M422" s="273">
        <f t="shared" si="289"/>
        <v>1895.0000000000002</v>
      </c>
      <c r="N422" s="273">
        <f t="shared" si="289"/>
        <v>1895.0000000000002</v>
      </c>
      <c r="O422" s="273">
        <f t="shared" si="289"/>
        <v>1895.0000000000002</v>
      </c>
      <c r="P422" s="273">
        <f t="shared" si="289"/>
        <v>1895.0000000000002</v>
      </c>
    </row>
    <row r="423" spans="1:16" ht="15" x14ac:dyDescent="0.2">
      <c r="A423" s="371" t="str">
        <f t="shared" si="288"/>
        <v>Обем на съдовете</v>
      </c>
      <c r="B423" s="260"/>
      <c r="C423" s="260"/>
      <c r="D423" s="358" t="s">
        <v>203</v>
      </c>
      <c r="E423" s="260">
        <f>Допускания!C25</f>
        <v>1.5</v>
      </c>
      <c r="F423" s="260">
        <f t="shared" ref="F423:P423" si="290">E423</f>
        <v>1.5</v>
      </c>
      <c r="G423" s="260">
        <f t="shared" si="290"/>
        <v>1.5</v>
      </c>
      <c r="H423" s="260">
        <f t="shared" si="290"/>
        <v>1.5</v>
      </c>
      <c r="I423" s="260">
        <f t="shared" si="290"/>
        <v>1.5</v>
      </c>
      <c r="J423" s="260">
        <f t="shared" si="290"/>
        <v>1.5</v>
      </c>
      <c r="K423" s="260">
        <f t="shared" si="290"/>
        <v>1.5</v>
      </c>
      <c r="L423" s="260">
        <f t="shared" si="290"/>
        <v>1.5</v>
      </c>
      <c r="M423" s="260">
        <f t="shared" si="290"/>
        <v>1.5</v>
      </c>
      <c r="N423" s="260">
        <f t="shared" si="290"/>
        <v>1.5</v>
      </c>
      <c r="O423" s="260">
        <f t="shared" si="290"/>
        <v>1.5</v>
      </c>
      <c r="P423" s="260">
        <f t="shared" si="290"/>
        <v>1.5</v>
      </c>
    </row>
    <row r="424" spans="1:16" x14ac:dyDescent="0.2">
      <c r="A424" s="371" t="str">
        <f t="shared" si="288"/>
        <v>Честота на събиране годишно</v>
      </c>
      <c r="B424" s="260"/>
      <c r="C424" s="260"/>
      <c r="D424" s="358" t="s">
        <v>45</v>
      </c>
      <c r="E424" s="260">
        <f>Допускания!C38</f>
        <v>12</v>
      </c>
      <c r="F424" s="260">
        <f t="shared" ref="F424:P424" si="291">+E424</f>
        <v>12</v>
      </c>
      <c r="G424" s="260">
        <f t="shared" si="291"/>
        <v>12</v>
      </c>
      <c r="H424" s="260">
        <f t="shared" si="291"/>
        <v>12</v>
      </c>
      <c r="I424" s="260">
        <f t="shared" si="291"/>
        <v>12</v>
      </c>
      <c r="J424" s="260">
        <f t="shared" si="291"/>
        <v>12</v>
      </c>
      <c r="K424" s="260">
        <f t="shared" si="291"/>
        <v>12</v>
      </c>
      <c r="L424" s="260">
        <f t="shared" si="291"/>
        <v>12</v>
      </c>
      <c r="M424" s="260">
        <f t="shared" si="291"/>
        <v>12</v>
      </c>
      <c r="N424" s="260">
        <f t="shared" si="291"/>
        <v>12</v>
      </c>
      <c r="O424" s="260">
        <f t="shared" si="291"/>
        <v>12</v>
      </c>
      <c r="P424" s="260">
        <f t="shared" si="291"/>
        <v>12</v>
      </c>
    </row>
    <row r="425" spans="1:16" x14ac:dyDescent="0.2">
      <c r="A425" s="371" t="str">
        <f t="shared" si="288"/>
        <v>Средна запълненост на контейнерите</v>
      </c>
      <c r="B425" s="260"/>
      <c r="C425" s="260"/>
      <c r="D425" s="358" t="s">
        <v>19</v>
      </c>
      <c r="E425" s="270">
        <f>E197</f>
        <v>0.9</v>
      </c>
      <c r="F425" s="270">
        <f t="shared" ref="F425:P425" si="292">+E425</f>
        <v>0.9</v>
      </c>
      <c r="G425" s="270">
        <f t="shared" si="292"/>
        <v>0.9</v>
      </c>
      <c r="H425" s="270">
        <f t="shared" si="292"/>
        <v>0.9</v>
      </c>
      <c r="I425" s="270">
        <f t="shared" si="292"/>
        <v>0.9</v>
      </c>
      <c r="J425" s="270">
        <f t="shared" si="292"/>
        <v>0.9</v>
      </c>
      <c r="K425" s="270">
        <f t="shared" si="292"/>
        <v>0.9</v>
      </c>
      <c r="L425" s="270">
        <f t="shared" si="292"/>
        <v>0.9</v>
      </c>
      <c r="M425" s="270">
        <f t="shared" si="292"/>
        <v>0.9</v>
      </c>
      <c r="N425" s="270">
        <f t="shared" si="292"/>
        <v>0.9</v>
      </c>
      <c r="O425" s="270">
        <f t="shared" si="292"/>
        <v>0.9</v>
      </c>
      <c r="P425" s="270">
        <f t="shared" si="292"/>
        <v>0.9</v>
      </c>
    </row>
    <row r="426" spans="1:16" x14ac:dyDescent="0.2">
      <c r="A426" s="371" t="str">
        <f t="shared" si="288"/>
        <v>Коефициент на неравномерност</v>
      </c>
      <c r="B426" s="260"/>
      <c r="C426" s="260"/>
      <c r="D426" s="358"/>
      <c r="E426" s="260">
        <f>E198</f>
        <v>1.2</v>
      </c>
      <c r="F426" s="260">
        <f t="shared" ref="F426:P426" si="293">E426</f>
        <v>1.2</v>
      </c>
      <c r="G426" s="260">
        <f t="shared" si="293"/>
        <v>1.2</v>
      </c>
      <c r="H426" s="260">
        <f t="shared" si="293"/>
        <v>1.2</v>
      </c>
      <c r="I426" s="260">
        <f t="shared" si="293"/>
        <v>1.2</v>
      </c>
      <c r="J426" s="260">
        <f t="shared" si="293"/>
        <v>1.2</v>
      </c>
      <c r="K426" s="260">
        <f t="shared" si="293"/>
        <v>1.2</v>
      </c>
      <c r="L426" s="260">
        <f t="shared" si="293"/>
        <v>1.2</v>
      </c>
      <c r="M426" s="260">
        <f t="shared" si="293"/>
        <v>1.2</v>
      </c>
      <c r="N426" s="260">
        <f t="shared" si="293"/>
        <v>1.2</v>
      </c>
      <c r="O426" s="260">
        <f t="shared" si="293"/>
        <v>1.2</v>
      </c>
      <c r="P426" s="260">
        <f t="shared" si="293"/>
        <v>1.2</v>
      </c>
    </row>
    <row r="427" spans="1:16" x14ac:dyDescent="0.2">
      <c r="A427" s="371" t="str">
        <f t="shared" si="288"/>
        <v>Необходим брой контейнери</v>
      </c>
      <c r="B427" s="260"/>
      <c r="C427" s="260"/>
      <c r="D427" s="358" t="s">
        <v>49</v>
      </c>
      <c r="E427" s="260">
        <f t="shared" ref="E427:P427" si="294">IF(E400=0,0,ROUNDUP((E422/E425/E423)*E426/E424,))</f>
        <v>141</v>
      </c>
      <c r="F427" s="260">
        <f t="shared" si="294"/>
        <v>141</v>
      </c>
      <c r="G427" s="260">
        <f t="shared" si="294"/>
        <v>141</v>
      </c>
      <c r="H427" s="260">
        <f t="shared" si="294"/>
        <v>141</v>
      </c>
      <c r="I427" s="260">
        <f t="shared" si="294"/>
        <v>141</v>
      </c>
      <c r="J427" s="260">
        <f t="shared" si="294"/>
        <v>141</v>
      </c>
      <c r="K427" s="260">
        <f t="shared" si="294"/>
        <v>141</v>
      </c>
      <c r="L427" s="260">
        <f t="shared" si="294"/>
        <v>141</v>
      </c>
      <c r="M427" s="260">
        <f t="shared" si="294"/>
        <v>141</v>
      </c>
      <c r="N427" s="260">
        <f t="shared" si="294"/>
        <v>141</v>
      </c>
      <c r="O427" s="260">
        <f t="shared" si="294"/>
        <v>141</v>
      </c>
      <c r="P427" s="260">
        <f t="shared" si="294"/>
        <v>141</v>
      </c>
    </row>
    <row r="428" spans="1:16" x14ac:dyDescent="0.2">
      <c r="A428" s="371" t="str">
        <f t="shared" si="288"/>
        <v>Контейнери за разполагане</v>
      </c>
      <c r="B428" s="260"/>
      <c r="C428" s="260"/>
      <c r="D428" s="358" t="s">
        <v>49</v>
      </c>
      <c r="E428" s="260">
        <f t="shared" ref="E428:P428" si="295">MAX(E427,E351,E275)</f>
        <v>326</v>
      </c>
      <c r="F428" s="260">
        <f t="shared" si="295"/>
        <v>326</v>
      </c>
      <c r="G428" s="260">
        <f t="shared" si="295"/>
        <v>326</v>
      </c>
      <c r="H428" s="260">
        <f t="shared" si="295"/>
        <v>326</v>
      </c>
      <c r="I428" s="260">
        <f t="shared" si="295"/>
        <v>326</v>
      </c>
      <c r="J428" s="260">
        <f t="shared" si="295"/>
        <v>326</v>
      </c>
      <c r="K428" s="260">
        <f t="shared" si="295"/>
        <v>326</v>
      </c>
      <c r="L428" s="260">
        <f t="shared" si="295"/>
        <v>326</v>
      </c>
      <c r="M428" s="260">
        <f t="shared" si="295"/>
        <v>326</v>
      </c>
      <c r="N428" s="260">
        <f t="shared" si="295"/>
        <v>326</v>
      </c>
      <c r="O428" s="260">
        <f t="shared" si="295"/>
        <v>326</v>
      </c>
      <c r="P428" s="260">
        <f t="shared" si="295"/>
        <v>326</v>
      </c>
    </row>
    <row r="429" spans="1:16" ht="15" x14ac:dyDescent="0.2">
      <c r="A429" s="371" t="str">
        <f t="shared" si="288"/>
        <v>Среден обем на отпадъците във вдигнат контейнер</v>
      </c>
      <c r="B429" s="274"/>
      <c r="C429" s="274"/>
      <c r="D429" s="358" t="s">
        <v>203</v>
      </c>
      <c r="E429" s="275">
        <f t="shared" ref="E429:P429" si="296">IF(E428=0,0,E422/E428/E424)</f>
        <v>0.48440695296523523</v>
      </c>
      <c r="F429" s="275">
        <f t="shared" si="296"/>
        <v>0.48440695296523523</v>
      </c>
      <c r="G429" s="275">
        <f t="shared" si="296"/>
        <v>0.48440695296523523</v>
      </c>
      <c r="H429" s="275">
        <f t="shared" si="296"/>
        <v>0.48440695296523523</v>
      </c>
      <c r="I429" s="275">
        <f t="shared" si="296"/>
        <v>0.48440695296523523</v>
      </c>
      <c r="J429" s="275">
        <f t="shared" si="296"/>
        <v>0.48440695296523523</v>
      </c>
      <c r="K429" s="275">
        <f t="shared" si="296"/>
        <v>0.48440695296523523</v>
      </c>
      <c r="L429" s="275">
        <f t="shared" si="296"/>
        <v>0.48440695296523523</v>
      </c>
      <c r="M429" s="275">
        <f t="shared" si="296"/>
        <v>0.48440695296523523</v>
      </c>
      <c r="N429" s="275">
        <f t="shared" si="296"/>
        <v>0.48440695296523523</v>
      </c>
      <c r="O429" s="275">
        <f t="shared" si="296"/>
        <v>0.48440695296523523</v>
      </c>
      <c r="P429" s="275">
        <f t="shared" si="296"/>
        <v>0.48440695296523523</v>
      </c>
    </row>
    <row r="430" spans="1:16" x14ac:dyDescent="0.2">
      <c r="A430" s="371" t="str">
        <f t="shared" si="288"/>
        <v>Средно количество отпадъци от вдигнат контейнер</v>
      </c>
      <c r="B430" s="274"/>
      <c r="C430" s="274"/>
      <c r="D430" s="358" t="s">
        <v>43</v>
      </c>
      <c r="E430" s="276">
        <f t="shared" ref="E430:P430" si="297">+E429*E421</f>
        <v>0.16954243353783233</v>
      </c>
      <c r="F430" s="276">
        <f t="shared" si="297"/>
        <v>0.16954243353783233</v>
      </c>
      <c r="G430" s="276">
        <f t="shared" si="297"/>
        <v>0.16954243353783233</v>
      </c>
      <c r="H430" s="276">
        <f t="shared" si="297"/>
        <v>0.16954243353783233</v>
      </c>
      <c r="I430" s="276">
        <f t="shared" si="297"/>
        <v>0.16954243353783233</v>
      </c>
      <c r="J430" s="276">
        <f t="shared" si="297"/>
        <v>0.16954243353783233</v>
      </c>
      <c r="K430" s="276">
        <f t="shared" si="297"/>
        <v>0.16954243353783233</v>
      </c>
      <c r="L430" s="276">
        <f t="shared" si="297"/>
        <v>0.16954243353783233</v>
      </c>
      <c r="M430" s="276">
        <f t="shared" si="297"/>
        <v>0.16954243353783233</v>
      </c>
      <c r="N430" s="276">
        <f t="shared" si="297"/>
        <v>0.16954243353783233</v>
      </c>
      <c r="O430" s="276">
        <f t="shared" si="297"/>
        <v>0.16954243353783233</v>
      </c>
      <c r="P430" s="276">
        <f t="shared" si="297"/>
        <v>0.16954243353783233</v>
      </c>
    </row>
    <row r="431" spans="1:16" x14ac:dyDescent="0.2">
      <c r="A431" s="371"/>
      <c r="B431" s="260"/>
      <c r="C431" s="260"/>
      <c r="D431" s="358"/>
      <c r="E431" s="277"/>
      <c r="F431" s="277"/>
      <c r="G431" s="277"/>
      <c r="H431" s="277"/>
      <c r="I431" s="277"/>
      <c r="J431" s="277"/>
      <c r="K431" s="277"/>
      <c r="L431" s="277"/>
      <c r="M431" s="277"/>
      <c r="N431" s="277"/>
      <c r="O431" s="277"/>
      <c r="P431" s="277"/>
    </row>
    <row r="432" spans="1:16" x14ac:dyDescent="0.2">
      <c r="A432" s="378" t="str">
        <f t="shared" si="288"/>
        <v>Необходим брой контейнери</v>
      </c>
      <c r="B432" s="260"/>
      <c r="C432" s="260"/>
      <c r="D432" s="358"/>
      <c r="E432" s="272">
        <f t="shared" ref="E432:P432" si="298">+E428*(1+E433)</f>
        <v>342.3</v>
      </c>
      <c r="F432" s="272">
        <f t="shared" si="298"/>
        <v>358.6</v>
      </c>
      <c r="G432" s="272">
        <f t="shared" si="298"/>
        <v>358.6</v>
      </c>
      <c r="H432" s="272">
        <f t="shared" si="298"/>
        <v>358.6</v>
      </c>
      <c r="I432" s="272">
        <f t="shared" si="298"/>
        <v>358.6</v>
      </c>
      <c r="J432" s="272">
        <f t="shared" si="298"/>
        <v>358.6</v>
      </c>
      <c r="K432" s="272">
        <f t="shared" si="298"/>
        <v>358.6</v>
      </c>
      <c r="L432" s="272">
        <f t="shared" si="298"/>
        <v>358.6</v>
      </c>
      <c r="M432" s="272">
        <f t="shared" si="298"/>
        <v>358.6</v>
      </c>
      <c r="N432" s="272">
        <f t="shared" si="298"/>
        <v>358.6</v>
      </c>
      <c r="O432" s="272">
        <f t="shared" si="298"/>
        <v>358.6</v>
      </c>
      <c r="P432" s="272">
        <f t="shared" si="298"/>
        <v>358.6</v>
      </c>
    </row>
    <row r="433" spans="1:16" x14ac:dyDescent="0.2">
      <c r="A433" s="371" t="str">
        <f t="shared" si="288"/>
        <v>Резерви за поддръжка</v>
      </c>
      <c r="B433" s="260"/>
      <c r="C433" s="260"/>
      <c r="D433" s="358"/>
      <c r="E433" s="278">
        <f t="shared" ref="E433:P433" si="299">E281</f>
        <v>0.05</v>
      </c>
      <c r="F433" s="278">
        <f t="shared" si="299"/>
        <v>0.1</v>
      </c>
      <c r="G433" s="278">
        <f t="shared" si="299"/>
        <v>0.1</v>
      </c>
      <c r="H433" s="278">
        <f t="shared" si="299"/>
        <v>0.1</v>
      </c>
      <c r="I433" s="278">
        <f t="shared" si="299"/>
        <v>0.1</v>
      </c>
      <c r="J433" s="278">
        <f t="shared" si="299"/>
        <v>0.1</v>
      </c>
      <c r="K433" s="278">
        <f t="shared" si="299"/>
        <v>0.1</v>
      </c>
      <c r="L433" s="278">
        <f t="shared" si="299"/>
        <v>0.1</v>
      </c>
      <c r="M433" s="278">
        <f t="shared" si="299"/>
        <v>0.1</v>
      </c>
      <c r="N433" s="278">
        <f t="shared" si="299"/>
        <v>0.1</v>
      </c>
      <c r="O433" s="278">
        <f t="shared" si="299"/>
        <v>0.1</v>
      </c>
      <c r="P433" s="278">
        <f t="shared" si="299"/>
        <v>0.1</v>
      </c>
    </row>
    <row r="434" spans="1:16" x14ac:dyDescent="0.2">
      <c r="A434" s="371" t="str">
        <f t="shared" si="288"/>
        <v>Среден брой необходими контейнери</v>
      </c>
      <c r="B434" s="260"/>
      <c r="C434" s="260"/>
      <c r="D434" s="358"/>
      <c r="E434" s="272">
        <f t="shared" ref="E434:P434" si="300">+E432</f>
        <v>342.3</v>
      </c>
      <c r="F434" s="272">
        <f t="shared" si="300"/>
        <v>358.6</v>
      </c>
      <c r="G434" s="272">
        <f t="shared" si="300"/>
        <v>358.6</v>
      </c>
      <c r="H434" s="272">
        <f t="shared" si="300"/>
        <v>358.6</v>
      </c>
      <c r="I434" s="272">
        <f t="shared" si="300"/>
        <v>358.6</v>
      </c>
      <c r="J434" s="272">
        <f t="shared" si="300"/>
        <v>358.6</v>
      </c>
      <c r="K434" s="272">
        <f t="shared" si="300"/>
        <v>358.6</v>
      </c>
      <c r="L434" s="272">
        <f t="shared" si="300"/>
        <v>358.6</v>
      </c>
      <c r="M434" s="272">
        <f t="shared" si="300"/>
        <v>358.6</v>
      </c>
      <c r="N434" s="272">
        <f t="shared" si="300"/>
        <v>358.6</v>
      </c>
      <c r="O434" s="272">
        <f t="shared" si="300"/>
        <v>358.6</v>
      </c>
      <c r="P434" s="272">
        <f t="shared" si="300"/>
        <v>358.6</v>
      </c>
    </row>
    <row r="435" spans="1:16" x14ac:dyDescent="0.2">
      <c r="A435" s="371"/>
      <c r="B435" s="260"/>
      <c r="C435" s="260"/>
      <c r="D435" s="358"/>
      <c r="E435" s="265"/>
      <c r="F435" s="265"/>
      <c r="G435" s="265"/>
      <c r="H435" s="265"/>
      <c r="I435" s="265"/>
      <c r="J435" s="265"/>
      <c r="K435" s="265"/>
      <c r="L435" s="265"/>
      <c r="M435" s="265"/>
      <c r="N435" s="265"/>
      <c r="O435" s="265"/>
      <c r="P435" s="265"/>
    </row>
    <row r="436" spans="1:16" x14ac:dyDescent="0.2">
      <c r="A436" s="378" t="str">
        <f t="shared" si="288"/>
        <v>Автомобили за събиране на отпадъци</v>
      </c>
      <c r="B436" s="260"/>
      <c r="C436" s="260"/>
      <c r="D436" s="358"/>
      <c r="E436" s="279"/>
      <c r="F436" s="279"/>
      <c r="G436" s="279"/>
      <c r="H436" s="279"/>
      <c r="I436" s="279"/>
      <c r="J436" s="279"/>
      <c r="K436" s="279"/>
      <c r="L436" s="279"/>
      <c r="M436" s="279"/>
      <c r="N436" s="279"/>
      <c r="O436" s="279"/>
      <c r="P436" s="279"/>
    </row>
    <row r="437" spans="1:16" x14ac:dyDescent="0.2">
      <c r="A437" s="371" t="str">
        <f t="shared" si="288"/>
        <v>Товароносимост</v>
      </c>
      <c r="B437" s="260"/>
      <c r="C437" s="260"/>
      <c r="D437" s="358" t="s">
        <v>22</v>
      </c>
      <c r="E437" s="279">
        <f>E209</f>
        <v>5.3999999999999995</v>
      </c>
      <c r="F437" s="279">
        <f t="shared" ref="F437:P437" si="301">+E437</f>
        <v>5.3999999999999995</v>
      </c>
      <c r="G437" s="279">
        <f t="shared" si="301"/>
        <v>5.3999999999999995</v>
      </c>
      <c r="H437" s="279">
        <f t="shared" si="301"/>
        <v>5.3999999999999995</v>
      </c>
      <c r="I437" s="279">
        <f t="shared" si="301"/>
        <v>5.3999999999999995</v>
      </c>
      <c r="J437" s="279">
        <f t="shared" si="301"/>
        <v>5.3999999999999995</v>
      </c>
      <c r="K437" s="279">
        <f t="shared" si="301"/>
        <v>5.3999999999999995</v>
      </c>
      <c r="L437" s="279">
        <f t="shared" si="301"/>
        <v>5.3999999999999995</v>
      </c>
      <c r="M437" s="279">
        <f t="shared" si="301"/>
        <v>5.3999999999999995</v>
      </c>
      <c r="N437" s="279">
        <f t="shared" si="301"/>
        <v>5.3999999999999995</v>
      </c>
      <c r="O437" s="279">
        <f t="shared" si="301"/>
        <v>5.3999999999999995</v>
      </c>
      <c r="P437" s="279">
        <f t="shared" si="301"/>
        <v>5.3999999999999995</v>
      </c>
    </row>
    <row r="438" spans="1:16" x14ac:dyDescent="0.2">
      <c r="A438" s="371" t="str">
        <f t="shared" si="288"/>
        <v>Оползотворяване на капацитета</v>
      </c>
      <c r="B438" s="260"/>
      <c r="C438" s="260"/>
      <c r="D438" s="358" t="s">
        <v>56</v>
      </c>
      <c r="E438" s="270">
        <f>E210</f>
        <v>0.9</v>
      </c>
      <c r="F438" s="270">
        <f t="shared" ref="F438:P438" si="302">+E438</f>
        <v>0.9</v>
      </c>
      <c r="G438" s="270">
        <f t="shared" si="302"/>
        <v>0.9</v>
      </c>
      <c r="H438" s="270">
        <f t="shared" si="302"/>
        <v>0.9</v>
      </c>
      <c r="I438" s="270">
        <f t="shared" si="302"/>
        <v>0.9</v>
      </c>
      <c r="J438" s="270">
        <f t="shared" si="302"/>
        <v>0.9</v>
      </c>
      <c r="K438" s="270">
        <f t="shared" si="302"/>
        <v>0.9</v>
      </c>
      <c r="L438" s="270">
        <f t="shared" si="302"/>
        <v>0.9</v>
      </c>
      <c r="M438" s="270">
        <f t="shared" si="302"/>
        <v>0.9</v>
      </c>
      <c r="N438" s="270">
        <f t="shared" si="302"/>
        <v>0.9</v>
      </c>
      <c r="O438" s="270">
        <f t="shared" si="302"/>
        <v>0.9</v>
      </c>
      <c r="P438" s="270">
        <f t="shared" si="302"/>
        <v>0.9</v>
      </c>
    </row>
    <row r="439" spans="1:16" x14ac:dyDescent="0.2">
      <c r="A439" s="371" t="str">
        <f t="shared" si="288"/>
        <v>Средно опозотворен капацитет</v>
      </c>
      <c r="B439" s="260"/>
      <c r="C439" s="260"/>
      <c r="D439" s="358" t="s">
        <v>22</v>
      </c>
      <c r="E439" s="279">
        <f t="shared" ref="E439:P439" si="303">+E437*E438</f>
        <v>4.8599999999999994</v>
      </c>
      <c r="F439" s="279">
        <f t="shared" si="303"/>
        <v>4.8599999999999994</v>
      </c>
      <c r="G439" s="279">
        <f t="shared" si="303"/>
        <v>4.8599999999999994</v>
      </c>
      <c r="H439" s="279">
        <f t="shared" si="303"/>
        <v>4.8599999999999994</v>
      </c>
      <c r="I439" s="279">
        <f t="shared" si="303"/>
        <v>4.8599999999999994</v>
      </c>
      <c r="J439" s="279">
        <f t="shared" si="303"/>
        <v>4.8599999999999994</v>
      </c>
      <c r="K439" s="279">
        <f t="shared" si="303"/>
        <v>4.8599999999999994</v>
      </c>
      <c r="L439" s="279">
        <f t="shared" si="303"/>
        <v>4.8599999999999994</v>
      </c>
      <c r="M439" s="279">
        <f t="shared" si="303"/>
        <v>4.8599999999999994</v>
      </c>
      <c r="N439" s="279">
        <f t="shared" si="303"/>
        <v>4.8599999999999994</v>
      </c>
      <c r="O439" s="279">
        <f t="shared" si="303"/>
        <v>4.8599999999999994</v>
      </c>
      <c r="P439" s="279">
        <f t="shared" si="303"/>
        <v>4.8599999999999994</v>
      </c>
    </row>
    <row r="440" spans="1:16" x14ac:dyDescent="0.2">
      <c r="A440" s="371" t="str">
        <f t="shared" si="288"/>
        <v>Наличност на автомобилите</v>
      </c>
      <c r="B440" s="260"/>
      <c r="C440" s="260"/>
      <c r="D440" s="358"/>
      <c r="E440" s="270">
        <f>E212</f>
        <v>0.85</v>
      </c>
      <c r="F440" s="270">
        <f t="shared" ref="F440:P440" si="304">+E440</f>
        <v>0.85</v>
      </c>
      <c r="G440" s="270">
        <f t="shared" si="304"/>
        <v>0.85</v>
      </c>
      <c r="H440" s="270">
        <f t="shared" si="304"/>
        <v>0.85</v>
      </c>
      <c r="I440" s="270">
        <f t="shared" si="304"/>
        <v>0.85</v>
      </c>
      <c r="J440" s="270">
        <f t="shared" si="304"/>
        <v>0.85</v>
      </c>
      <c r="K440" s="270">
        <f t="shared" si="304"/>
        <v>0.85</v>
      </c>
      <c r="L440" s="270">
        <f t="shared" si="304"/>
        <v>0.85</v>
      </c>
      <c r="M440" s="270">
        <f t="shared" si="304"/>
        <v>0.85</v>
      </c>
      <c r="N440" s="270">
        <f t="shared" si="304"/>
        <v>0.85</v>
      </c>
      <c r="O440" s="270">
        <f t="shared" si="304"/>
        <v>0.85</v>
      </c>
      <c r="P440" s="270">
        <f t="shared" si="304"/>
        <v>0.85</v>
      </c>
    </row>
    <row r="441" spans="1:16" x14ac:dyDescent="0.2">
      <c r="A441" s="371"/>
      <c r="B441" s="260"/>
      <c r="C441" s="260"/>
      <c r="D441" s="358"/>
      <c r="E441" s="270"/>
      <c r="F441" s="270"/>
      <c r="G441" s="270"/>
      <c r="H441" s="270"/>
      <c r="I441" s="270"/>
      <c r="J441" s="270"/>
      <c r="K441" s="270"/>
      <c r="L441" s="270"/>
      <c r="M441" s="270"/>
      <c r="N441" s="270"/>
      <c r="O441" s="270"/>
      <c r="P441" s="270"/>
    </row>
    <row r="442" spans="1:16" x14ac:dyDescent="0.2">
      <c r="A442" s="378" t="str">
        <f t="shared" si="288"/>
        <v>Среден брой курсове на автомобил дневно</v>
      </c>
      <c r="B442" s="260"/>
      <c r="C442" s="260"/>
      <c r="D442" s="358"/>
      <c r="E442" s="270"/>
      <c r="F442" s="270"/>
      <c r="G442" s="270"/>
      <c r="H442" s="270"/>
      <c r="I442" s="270"/>
      <c r="J442" s="270"/>
      <c r="K442" s="270"/>
      <c r="L442" s="270"/>
      <c r="M442" s="270"/>
      <c r="N442" s="270"/>
      <c r="O442" s="270"/>
      <c r="P442" s="270"/>
    </row>
    <row r="443" spans="1:16" x14ac:dyDescent="0.2">
      <c r="A443" s="371" t="str">
        <f t="shared" si="288"/>
        <v>Средно разстояние до площадката за разтоварване</v>
      </c>
      <c r="B443" s="260"/>
      <c r="C443" s="260"/>
      <c r="D443" s="358" t="s">
        <v>61</v>
      </c>
      <c r="E443" s="272">
        <f>E291</f>
        <v>10</v>
      </c>
      <c r="F443" s="272">
        <f t="shared" ref="F443:P443" si="305">+E443</f>
        <v>10</v>
      </c>
      <c r="G443" s="272">
        <f t="shared" si="305"/>
        <v>10</v>
      </c>
      <c r="H443" s="272">
        <f t="shared" si="305"/>
        <v>10</v>
      </c>
      <c r="I443" s="272">
        <f t="shared" si="305"/>
        <v>10</v>
      </c>
      <c r="J443" s="272">
        <f t="shared" si="305"/>
        <v>10</v>
      </c>
      <c r="K443" s="272">
        <f t="shared" si="305"/>
        <v>10</v>
      </c>
      <c r="L443" s="272">
        <f t="shared" si="305"/>
        <v>10</v>
      </c>
      <c r="M443" s="272">
        <f t="shared" si="305"/>
        <v>10</v>
      </c>
      <c r="N443" s="272">
        <f t="shared" si="305"/>
        <v>10</v>
      </c>
      <c r="O443" s="272">
        <f t="shared" si="305"/>
        <v>10</v>
      </c>
      <c r="P443" s="272">
        <f t="shared" si="305"/>
        <v>10</v>
      </c>
    </row>
    <row r="444" spans="1:16" x14ac:dyDescent="0.2">
      <c r="A444" s="371" t="str">
        <f t="shared" si="288"/>
        <v>Средна скорост при пътуване</v>
      </c>
      <c r="B444" s="260"/>
      <c r="C444" s="260"/>
      <c r="D444" s="358" t="s">
        <v>63</v>
      </c>
      <c r="E444" s="272">
        <f>E292</f>
        <v>30</v>
      </c>
      <c r="F444" s="272">
        <f t="shared" ref="F444:P444" si="306">E444</f>
        <v>30</v>
      </c>
      <c r="G444" s="272">
        <f t="shared" si="306"/>
        <v>30</v>
      </c>
      <c r="H444" s="272">
        <f t="shared" si="306"/>
        <v>30</v>
      </c>
      <c r="I444" s="272">
        <f t="shared" si="306"/>
        <v>30</v>
      </c>
      <c r="J444" s="272">
        <f t="shared" si="306"/>
        <v>30</v>
      </c>
      <c r="K444" s="272">
        <f t="shared" si="306"/>
        <v>30</v>
      </c>
      <c r="L444" s="272">
        <f t="shared" si="306"/>
        <v>30</v>
      </c>
      <c r="M444" s="272">
        <f t="shared" si="306"/>
        <v>30</v>
      </c>
      <c r="N444" s="272">
        <f t="shared" si="306"/>
        <v>30</v>
      </c>
      <c r="O444" s="272">
        <f t="shared" si="306"/>
        <v>30</v>
      </c>
      <c r="P444" s="272">
        <f t="shared" si="306"/>
        <v>30</v>
      </c>
    </row>
    <row r="445" spans="1:16" x14ac:dyDescent="0.2">
      <c r="A445" s="371" t="str">
        <f t="shared" si="288"/>
        <v>Средно време за път към и от площадката за разтоварване</v>
      </c>
      <c r="B445" s="260"/>
      <c r="C445" s="260"/>
      <c r="D445" s="358" t="s">
        <v>30</v>
      </c>
      <c r="E445" s="280">
        <f t="shared" ref="E445:P445" si="307">+E443*2/E444</f>
        <v>0.66666666666666663</v>
      </c>
      <c r="F445" s="280">
        <f t="shared" si="307"/>
        <v>0.66666666666666663</v>
      </c>
      <c r="G445" s="280">
        <f t="shared" si="307"/>
        <v>0.66666666666666663</v>
      </c>
      <c r="H445" s="280">
        <f t="shared" si="307"/>
        <v>0.66666666666666663</v>
      </c>
      <c r="I445" s="280">
        <f t="shared" si="307"/>
        <v>0.66666666666666663</v>
      </c>
      <c r="J445" s="280">
        <f t="shared" si="307"/>
        <v>0.66666666666666663</v>
      </c>
      <c r="K445" s="280">
        <f t="shared" si="307"/>
        <v>0.66666666666666663</v>
      </c>
      <c r="L445" s="280">
        <f t="shared" si="307"/>
        <v>0.66666666666666663</v>
      </c>
      <c r="M445" s="280">
        <f t="shared" si="307"/>
        <v>0.66666666666666663</v>
      </c>
      <c r="N445" s="280">
        <f t="shared" si="307"/>
        <v>0.66666666666666663</v>
      </c>
      <c r="O445" s="280">
        <f t="shared" si="307"/>
        <v>0.66666666666666663</v>
      </c>
      <c r="P445" s="280">
        <f t="shared" si="307"/>
        <v>0.66666666666666663</v>
      </c>
    </row>
    <row r="446" spans="1:16" s="373" customFormat="1" x14ac:dyDescent="0.2">
      <c r="A446" s="371" t="str">
        <f t="shared" si="288"/>
        <v>Средно време на площадката за разтоварване</v>
      </c>
      <c r="B446" s="371"/>
      <c r="C446" s="371"/>
      <c r="D446" s="358" t="s">
        <v>30</v>
      </c>
      <c r="E446" s="372">
        <f>E294</f>
        <v>0.5</v>
      </c>
      <c r="F446" s="372">
        <f t="shared" ref="F446:P446" si="308">E446</f>
        <v>0.5</v>
      </c>
      <c r="G446" s="372">
        <f t="shared" si="308"/>
        <v>0.5</v>
      </c>
      <c r="H446" s="372">
        <f t="shared" si="308"/>
        <v>0.5</v>
      </c>
      <c r="I446" s="372">
        <f t="shared" si="308"/>
        <v>0.5</v>
      </c>
      <c r="J446" s="372">
        <f t="shared" si="308"/>
        <v>0.5</v>
      </c>
      <c r="K446" s="372">
        <f t="shared" si="308"/>
        <v>0.5</v>
      </c>
      <c r="L446" s="372">
        <f t="shared" si="308"/>
        <v>0.5</v>
      </c>
      <c r="M446" s="372">
        <f t="shared" si="308"/>
        <v>0.5</v>
      </c>
      <c r="N446" s="372">
        <f t="shared" si="308"/>
        <v>0.5</v>
      </c>
      <c r="O446" s="372">
        <f t="shared" si="308"/>
        <v>0.5</v>
      </c>
      <c r="P446" s="372">
        <f t="shared" si="308"/>
        <v>0.5</v>
      </c>
    </row>
    <row r="447" spans="1:16" x14ac:dyDescent="0.2">
      <c r="A447" s="371" t="str">
        <f t="shared" si="288"/>
        <v>Общо време за пътуване/курс</v>
      </c>
      <c r="B447" s="260"/>
      <c r="C447" s="260"/>
      <c r="D447" s="358" t="s">
        <v>30</v>
      </c>
      <c r="E447" s="280">
        <f t="shared" ref="E447:P447" si="309">+E446+E445</f>
        <v>1.1666666666666665</v>
      </c>
      <c r="F447" s="280">
        <f t="shared" si="309"/>
        <v>1.1666666666666665</v>
      </c>
      <c r="G447" s="280">
        <f t="shared" si="309"/>
        <v>1.1666666666666665</v>
      </c>
      <c r="H447" s="280">
        <f t="shared" si="309"/>
        <v>1.1666666666666665</v>
      </c>
      <c r="I447" s="280">
        <f t="shared" si="309"/>
        <v>1.1666666666666665</v>
      </c>
      <c r="J447" s="280">
        <f t="shared" si="309"/>
        <v>1.1666666666666665</v>
      </c>
      <c r="K447" s="280">
        <f t="shared" si="309"/>
        <v>1.1666666666666665</v>
      </c>
      <c r="L447" s="280">
        <f t="shared" si="309"/>
        <v>1.1666666666666665</v>
      </c>
      <c r="M447" s="280">
        <f t="shared" si="309"/>
        <v>1.1666666666666665</v>
      </c>
      <c r="N447" s="280">
        <f t="shared" si="309"/>
        <v>1.1666666666666665</v>
      </c>
      <c r="O447" s="280">
        <f t="shared" si="309"/>
        <v>1.1666666666666665</v>
      </c>
      <c r="P447" s="280">
        <f t="shared" si="309"/>
        <v>1.1666666666666665</v>
      </c>
    </row>
    <row r="448" spans="1:16" x14ac:dyDescent="0.2">
      <c r="A448" s="371" t="str">
        <f t="shared" si="288"/>
        <v>Време за натоварване за един контейнер</v>
      </c>
      <c r="B448" s="260"/>
      <c r="C448" s="260"/>
      <c r="D448" s="358" t="s">
        <v>68</v>
      </c>
      <c r="E448" s="279">
        <f>Допускания!C58</f>
        <v>3.5</v>
      </c>
      <c r="F448" s="280">
        <f t="shared" ref="F448:P448" si="310">+E448</f>
        <v>3.5</v>
      </c>
      <c r="G448" s="280">
        <f t="shared" si="310"/>
        <v>3.5</v>
      </c>
      <c r="H448" s="280">
        <f t="shared" si="310"/>
        <v>3.5</v>
      </c>
      <c r="I448" s="280">
        <f t="shared" si="310"/>
        <v>3.5</v>
      </c>
      <c r="J448" s="280">
        <f t="shared" si="310"/>
        <v>3.5</v>
      </c>
      <c r="K448" s="280">
        <f t="shared" si="310"/>
        <v>3.5</v>
      </c>
      <c r="L448" s="280">
        <f t="shared" si="310"/>
        <v>3.5</v>
      </c>
      <c r="M448" s="280">
        <f t="shared" si="310"/>
        <v>3.5</v>
      </c>
      <c r="N448" s="280">
        <f t="shared" si="310"/>
        <v>3.5</v>
      </c>
      <c r="O448" s="280">
        <f t="shared" si="310"/>
        <v>3.5</v>
      </c>
      <c r="P448" s="280">
        <f t="shared" si="310"/>
        <v>3.5</v>
      </c>
    </row>
    <row r="449" spans="1:16" x14ac:dyDescent="0.2">
      <c r="A449" s="371" t="str">
        <f t="shared" si="288"/>
        <v>Средно количество отпадъци от вдигнат контейнер</v>
      </c>
      <c r="B449" s="260"/>
      <c r="C449" s="260"/>
      <c r="D449" s="358" t="s">
        <v>43</v>
      </c>
      <c r="E449" s="281">
        <f t="shared" ref="E449:P449" si="311">+E430</f>
        <v>0.16954243353783233</v>
      </c>
      <c r="F449" s="281">
        <f t="shared" si="311"/>
        <v>0.16954243353783233</v>
      </c>
      <c r="G449" s="281">
        <f t="shared" si="311"/>
        <v>0.16954243353783233</v>
      </c>
      <c r="H449" s="281">
        <f t="shared" si="311"/>
        <v>0.16954243353783233</v>
      </c>
      <c r="I449" s="281">
        <f t="shared" si="311"/>
        <v>0.16954243353783233</v>
      </c>
      <c r="J449" s="281">
        <f t="shared" si="311"/>
        <v>0.16954243353783233</v>
      </c>
      <c r="K449" s="281">
        <f t="shared" si="311"/>
        <v>0.16954243353783233</v>
      </c>
      <c r="L449" s="281">
        <f t="shared" si="311"/>
        <v>0.16954243353783233</v>
      </c>
      <c r="M449" s="281">
        <f t="shared" si="311"/>
        <v>0.16954243353783233</v>
      </c>
      <c r="N449" s="281">
        <f t="shared" si="311"/>
        <v>0.16954243353783233</v>
      </c>
      <c r="O449" s="281">
        <f t="shared" si="311"/>
        <v>0.16954243353783233</v>
      </c>
      <c r="P449" s="281">
        <f t="shared" si="311"/>
        <v>0.16954243353783233</v>
      </c>
    </row>
    <row r="450" spans="1:16" x14ac:dyDescent="0.2">
      <c r="A450" s="371" t="str">
        <f t="shared" si="288"/>
        <v>Товаримост на час</v>
      </c>
      <c r="B450" s="260"/>
      <c r="C450" s="260"/>
      <c r="D450" s="358" t="s">
        <v>70</v>
      </c>
      <c r="E450" s="280">
        <f t="shared" ref="E450:P450" si="312">+E449*60/E448</f>
        <v>2.9064417177914117</v>
      </c>
      <c r="F450" s="280">
        <f t="shared" si="312"/>
        <v>2.9064417177914117</v>
      </c>
      <c r="G450" s="280">
        <f t="shared" si="312"/>
        <v>2.9064417177914117</v>
      </c>
      <c r="H450" s="280">
        <f t="shared" si="312"/>
        <v>2.9064417177914117</v>
      </c>
      <c r="I450" s="280">
        <f t="shared" si="312"/>
        <v>2.9064417177914117</v>
      </c>
      <c r="J450" s="280">
        <f t="shared" si="312"/>
        <v>2.9064417177914117</v>
      </c>
      <c r="K450" s="280">
        <f t="shared" si="312"/>
        <v>2.9064417177914117</v>
      </c>
      <c r="L450" s="280">
        <f t="shared" si="312"/>
        <v>2.9064417177914117</v>
      </c>
      <c r="M450" s="280">
        <f t="shared" si="312"/>
        <v>2.9064417177914117</v>
      </c>
      <c r="N450" s="280">
        <f t="shared" si="312"/>
        <v>2.9064417177914117</v>
      </c>
      <c r="O450" s="280">
        <f t="shared" si="312"/>
        <v>2.9064417177914117</v>
      </c>
      <c r="P450" s="280">
        <f t="shared" si="312"/>
        <v>2.9064417177914117</v>
      </c>
    </row>
    <row r="451" spans="1:16" x14ac:dyDescent="0.2">
      <c r="A451" s="371" t="str">
        <f t="shared" si="288"/>
        <v>Време за натоварване напълно на автомобила</v>
      </c>
      <c r="B451" s="260"/>
      <c r="C451" s="260"/>
      <c r="D451" s="358" t="s">
        <v>30</v>
      </c>
      <c r="E451" s="280">
        <f t="shared" ref="E451:P451" si="313">IF(E450=0,0,+E439/E450)</f>
        <v>1.672147757255936</v>
      </c>
      <c r="F451" s="280">
        <f t="shared" si="313"/>
        <v>1.672147757255936</v>
      </c>
      <c r="G451" s="280">
        <f t="shared" si="313"/>
        <v>1.672147757255936</v>
      </c>
      <c r="H451" s="280">
        <f t="shared" si="313"/>
        <v>1.672147757255936</v>
      </c>
      <c r="I451" s="280">
        <f t="shared" si="313"/>
        <v>1.672147757255936</v>
      </c>
      <c r="J451" s="280">
        <f t="shared" si="313"/>
        <v>1.672147757255936</v>
      </c>
      <c r="K451" s="280">
        <f t="shared" si="313"/>
        <v>1.672147757255936</v>
      </c>
      <c r="L451" s="280">
        <f t="shared" si="313"/>
        <v>1.672147757255936</v>
      </c>
      <c r="M451" s="280">
        <f t="shared" si="313"/>
        <v>1.672147757255936</v>
      </c>
      <c r="N451" s="280">
        <f t="shared" si="313"/>
        <v>1.672147757255936</v>
      </c>
      <c r="O451" s="280">
        <f t="shared" si="313"/>
        <v>1.672147757255936</v>
      </c>
      <c r="P451" s="280">
        <f t="shared" si="313"/>
        <v>1.672147757255936</v>
      </c>
    </row>
    <row r="452" spans="1:16" x14ac:dyDescent="0.2">
      <c r="A452" s="371" t="str">
        <f t="shared" si="288"/>
        <v>Време за натоварване напълно за първия курс</v>
      </c>
      <c r="B452" s="260"/>
      <c r="C452" s="260"/>
      <c r="D452" s="358" t="s">
        <v>30</v>
      </c>
      <c r="E452" s="280">
        <f t="shared" ref="E452:P452" si="314">IF(E449=0,0,IF(E439/E449*E448/60&gt;E408-E447,E408-E447,E439/E449*E448/60))</f>
        <v>1.6721477572559362</v>
      </c>
      <c r="F452" s="280">
        <f t="shared" si="314"/>
        <v>1.6721477572559362</v>
      </c>
      <c r="G452" s="280">
        <f t="shared" si="314"/>
        <v>1.6721477572559362</v>
      </c>
      <c r="H452" s="280">
        <f t="shared" si="314"/>
        <v>1.6721477572559362</v>
      </c>
      <c r="I452" s="280">
        <f t="shared" si="314"/>
        <v>1.6721477572559362</v>
      </c>
      <c r="J452" s="280">
        <f t="shared" si="314"/>
        <v>1.6721477572559362</v>
      </c>
      <c r="K452" s="280">
        <f t="shared" si="314"/>
        <v>1.6721477572559362</v>
      </c>
      <c r="L452" s="280">
        <f t="shared" si="314"/>
        <v>1.6721477572559362</v>
      </c>
      <c r="M452" s="280">
        <f t="shared" si="314"/>
        <v>1.6721477572559362</v>
      </c>
      <c r="N452" s="280">
        <f t="shared" si="314"/>
        <v>1.6721477572559362</v>
      </c>
      <c r="O452" s="280">
        <f t="shared" si="314"/>
        <v>1.6721477572559362</v>
      </c>
      <c r="P452" s="280">
        <f t="shared" si="314"/>
        <v>1.6721477572559362</v>
      </c>
    </row>
    <row r="453" spans="1:16" outlineLevel="1" x14ac:dyDescent="0.2">
      <c r="A453" s="371" t="str">
        <f t="shared" si="288"/>
        <v>Общо време за първия курс</v>
      </c>
      <c r="B453" s="260"/>
      <c r="C453" s="260"/>
      <c r="D453" s="358" t="s">
        <v>30</v>
      </c>
      <c r="E453" s="280">
        <f t="shared" ref="E453:P453" si="315">+E452+E447</f>
        <v>2.838814423922603</v>
      </c>
      <c r="F453" s="280">
        <f t="shared" si="315"/>
        <v>2.838814423922603</v>
      </c>
      <c r="G453" s="280">
        <f t="shared" si="315"/>
        <v>2.838814423922603</v>
      </c>
      <c r="H453" s="280">
        <f t="shared" si="315"/>
        <v>2.838814423922603</v>
      </c>
      <c r="I453" s="280">
        <f t="shared" si="315"/>
        <v>2.838814423922603</v>
      </c>
      <c r="J453" s="280">
        <f t="shared" si="315"/>
        <v>2.838814423922603</v>
      </c>
      <c r="K453" s="280">
        <f t="shared" si="315"/>
        <v>2.838814423922603</v>
      </c>
      <c r="L453" s="280">
        <f t="shared" si="315"/>
        <v>2.838814423922603</v>
      </c>
      <c r="M453" s="280">
        <f t="shared" si="315"/>
        <v>2.838814423922603</v>
      </c>
      <c r="N453" s="280">
        <f t="shared" si="315"/>
        <v>2.838814423922603</v>
      </c>
      <c r="O453" s="280">
        <f t="shared" si="315"/>
        <v>2.838814423922603</v>
      </c>
      <c r="P453" s="280">
        <f t="shared" si="315"/>
        <v>2.838814423922603</v>
      </c>
    </row>
    <row r="454" spans="1:16" x14ac:dyDescent="0.2">
      <c r="A454" s="371" t="str">
        <f t="shared" si="288"/>
        <v>Буферно време</v>
      </c>
      <c r="B454" s="260">
        <f>B378</f>
        <v>0.5</v>
      </c>
      <c r="C454" s="260" t="s">
        <v>30</v>
      </c>
      <c r="D454" s="358" t="s">
        <v>30</v>
      </c>
      <c r="E454" s="279">
        <f>B454</f>
        <v>0.5</v>
      </c>
      <c r="F454" s="279">
        <f t="shared" ref="F454:P454" si="316">+E454</f>
        <v>0.5</v>
      </c>
      <c r="G454" s="279">
        <f t="shared" si="316"/>
        <v>0.5</v>
      </c>
      <c r="H454" s="279">
        <f t="shared" si="316"/>
        <v>0.5</v>
      </c>
      <c r="I454" s="279">
        <f t="shared" si="316"/>
        <v>0.5</v>
      </c>
      <c r="J454" s="279">
        <f t="shared" si="316"/>
        <v>0.5</v>
      </c>
      <c r="K454" s="279">
        <f t="shared" si="316"/>
        <v>0.5</v>
      </c>
      <c r="L454" s="279">
        <f t="shared" si="316"/>
        <v>0.5</v>
      </c>
      <c r="M454" s="279">
        <f t="shared" si="316"/>
        <v>0.5</v>
      </c>
      <c r="N454" s="279">
        <f t="shared" si="316"/>
        <v>0.5</v>
      </c>
      <c r="O454" s="279">
        <f t="shared" si="316"/>
        <v>0.5</v>
      </c>
      <c r="P454" s="279">
        <f t="shared" si="316"/>
        <v>0.5</v>
      </c>
    </row>
    <row r="455" spans="1:16" x14ac:dyDescent="0.2">
      <c r="A455" s="371" t="str">
        <f t="shared" si="288"/>
        <v>Остатъчно време за втори курс</v>
      </c>
      <c r="B455" s="260"/>
      <c r="C455" s="260"/>
      <c r="D455" s="358" t="s">
        <v>30</v>
      </c>
      <c r="E455" s="282">
        <f t="shared" ref="E455:P455" si="317">+E408*E409-E453</f>
        <v>5.161185576077397</v>
      </c>
      <c r="F455" s="282">
        <f t="shared" si="317"/>
        <v>5.161185576077397</v>
      </c>
      <c r="G455" s="282">
        <f t="shared" si="317"/>
        <v>5.161185576077397</v>
      </c>
      <c r="H455" s="282">
        <f t="shared" si="317"/>
        <v>5.161185576077397</v>
      </c>
      <c r="I455" s="282">
        <f t="shared" si="317"/>
        <v>5.161185576077397</v>
      </c>
      <c r="J455" s="282">
        <f t="shared" si="317"/>
        <v>5.161185576077397</v>
      </c>
      <c r="K455" s="282">
        <f t="shared" si="317"/>
        <v>5.161185576077397</v>
      </c>
      <c r="L455" s="282">
        <f t="shared" si="317"/>
        <v>5.161185576077397</v>
      </c>
      <c r="M455" s="282">
        <f t="shared" si="317"/>
        <v>5.161185576077397</v>
      </c>
      <c r="N455" s="282">
        <f t="shared" si="317"/>
        <v>5.161185576077397</v>
      </c>
      <c r="O455" s="282">
        <f t="shared" si="317"/>
        <v>5.161185576077397</v>
      </c>
      <c r="P455" s="282">
        <f t="shared" si="317"/>
        <v>5.161185576077397</v>
      </c>
    </row>
    <row r="456" spans="1:16" x14ac:dyDescent="0.2">
      <c r="A456" s="371" t="str">
        <f t="shared" si="288"/>
        <v>Време за натоварване ако остава такова</v>
      </c>
      <c r="B456" s="260"/>
      <c r="C456" s="260"/>
      <c r="D456" s="358" t="s">
        <v>30</v>
      </c>
      <c r="E456" s="282">
        <f t="shared" ref="E456:P456" si="318">+IF(E455-E447&gt;E454,IF(E455-E447&gt;E452,E452,E455-E447),0)</f>
        <v>1.6721477572559362</v>
      </c>
      <c r="F456" s="282">
        <f t="shared" si="318"/>
        <v>1.6721477572559362</v>
      </c>
      <c r="G456" s="282">
        <f t="shared" si="318"/>
        <v>1.6721477572559362</v>
      </c>
      <c r="H456" s="282">
        <f t="shared" si="318"/>
        <v>1.6721477572559362</v>
      </c>
      <c r="I456" s="282">
        <f t="shared" si="318"/>
        <v>1.6721477572559362</v>
      </c>
      <c r="J456" s="282">
        <f t="shared" si="318"/>
        <v>1.6721477572559362</v>
      </c>
      <c r="K456" s="282">
        <f t="shared" si="318"/>
        <v>1.6721477572559362</v>
      </c>
      <c r="L456" s="282">
        <f t="shared" si="318"/>
        <v>1.6721477572559362</v>
      </c>
      <c r="M456" s="282">
        <f t="shared" si="318"/>
        <v>1.6721477572559362</v>
      </c>
      <c r="N456" s="282">
        <f t="shared" si="318"/>
        <v>1.6721477572559362</v>
      </c>
      <c r="O456" s="282">
        <f t="shared" si="318"/>
        <v>1.6721477572559362</v>
      </c>
      <c r="P456" s="282">
        <f t="shared" si="318"/>
        <v>1.6721477572559362</v>
      </c>
    </row>
    <row r="457" spans="1:16" x14ac:dyDescent="0.2">
      <c r="A457" s="371" t="str">
        <f t="shared" si="288"/>
        <v>Остатъчно време за трети курс</v>
      </c>
      <c r="B457" s="260"/>
      <c r="C457" s="260"/>
      <c r="D457" s="358" t="s">
        <v>30</v>
      </c>
      <c r="E457" s="282">
        <f t="shared" ref="E457:P457" si="319">+IF(E456&gt;0,E455-E456-E447,0)</f>
        <v>2.3223711521547945</v>
      </c>
      <c r="F457" s="282">
        <f t="shared" si="319"/>
        <v>2.3223711521547945</v>
      </c>
      <c r="G457" s="282">
        <f t="shared" si="319"/>
        <v>2.3223711521547945</v>
      </c>
      <c r="H457" s="282">
        <f t="shared" si="319"/>
        <v>2.3223711521547945</v>
      </c>
      <c r="I457" s="282">
        <f t="shared" si="319"/>
        <v>2.3223711521547945</v>
      </c>
      <c r="J457" s="282">
        <f t="shared" si="319"/>
        <v>2.3223711521547945</v>
      </c>
      <c r="K457" s="282">
        <f t="shared" si="319"/>
        <v>2.3223711521547945</v>
      </c>
      <c r="L457" s="282">
        <f t="shared" si="319"/>
        <v>2.3223711521547945</v>
      </c>
      <c r="M457" s="282">
        <f t="shared" si="319"/>
        <v>2.3223711521547945</v>
      </c>
      <c r="N457" s="282">
        <f t="shared" si="319"/>
        <v>2.3223711521547945</v>
      </c>
      <c r="O457" s="282">
        <f t="shared" si="319"/>
        <v>2.3223711521547945</v>
      </c>
      <c r="P457" s="282">
        <f t="shared" si="319"/>
        <v>2.3223711521547945</v>
      </c>
    </row>
    <row r="458" spans="1:16" x14ac:dyDescent="0.2">
      <c r="A458" s="371" t="str">
        <f t="shared" si="288"/>
        <v>Време за натоварване ако остава такова</v>
      </c>
      <c r="B458" s="260"/>
      <c r="C458" s="260"/>
      <c r="D458" s="358" t="s">
        <v>30</v>
      </c>
      <c r="E458" s="282">
        <f t="shared" ref="E458:P458" si="320">+IF(E457-E447&gt;E454,IF(E457-E447&gt;E452,E452,E457-E447),0)</f>
        <v>1.155704485488128</v>
      </c>
      <c r="F458" s="282">
        <f t="shared" si="320"/>
        <v>1.155704485488128</v>
      </c>
      <c r="G458" s="282">
        <f t="shared" si="320"/>
        <v>1.155704485488128</v>
      </c>
      <c r="H458" s="282">
        <f t="shared" si="320"/>
        <v>1.155704485488128</v>
      </c>
      <c r="I458" s="282">
        <f t="shared" si="320"/>
        <v>1.155704485488128</v>
      </c>
      <c r="J458" s="282">
        <f t="shared" si="320"/>
        <v>1.155704485488128</v>
      </c>
      <c r="K458" s="282">
        <f t="shared" si="320"/>
        <v>1.155704485488128</v>
      </c>
      <c r="L458" s="282">
        <f t="shared" si="320"/>
        <v>1.155704485488128</v>
      </c>
      <c r="M458" s="282">
        <f t="shared" si="320"/>
        <v>1.155704485488128</v>
      </c>
      <c r="N458" s="282">
        <f t="shared" si="320"/>
        <v>1.155704485488128</v>
      </c>
      <c r="O458" s="282">
        <f t="shared" si="320"/>
        <v>1.155704485488128</v>
      </c>
      <c r="P458" s="282">
        <f t="shared" si="320"/>
        <v>1.155704485488128</v>
      </c>
    </row>
    <row r="459" spans="1:16" x14ac:dyDescent="0.2">
      <c r="A459" s="371" t="str">
        <f t="shared" si="288"/>
        <v>Остатъчно време за четвърти курс</v>
      </c>
      <c r="B459" s="260"/>
      <c r="C459" s="260"/>
      <c r="D459" s="358" t="s">
        <v>30</v>
      </c>
      <c r="E459" s="282">
        <f t="shared" ref="E459:P459" si="321">+IF(E458&gt;0,E457-E458-E447,0)</f>
        <v>0</v>
      </c>
      <c r="F459" s="282">
        <f t="shared" si="321"/>
        <v>0</v>
      </c>
      <c r="G459" s="282">
        <f t="shared" si="321"/>
        <v>0</v>
      </c>
      <c r="H459" s="282">
        <f t="shared" si="321"/>
        <v>0</v>
      </c>
      <c r="I459" s="282">
        <f t="shared" si="321"/>
        <v>0</v>
      </c>
      <c r="J459" s="282">
        <f t="shared" si="321"/>
        <v>0</v>
      </c>
      <c r="K459" s="282">
        <f t="shared" si="321"/>
        <v>0</v>
      </c>
      <c r="L459" s="282">
        <f t="shared" si="321"/>
        <v>0</v>
      </c>
      <c r="M459" s="282">
        <f t="shared" si="321"/>
        <v>0</v>
      </c>
      <c r="N459" s="282">
        <f t="shared" si="321"/>
        <v>0</v>
      </c>
      <c r="O459" s="282">
        <f t="shared" si="321"/>
        <v>0</v>
      </c>
      <c r="P459" s="282">
        <f t="shared" si="321"/>
        <v>0</v>
      </c>
    </row>
    <row r="460" spans="1:16" x14ac:dyDescent="0.2">
      <c r="A460" s="371" t="str">
        <f t="shared" si="288"/>
        <v>Време за натоварване ако остава такова</v>
      </c>
      <c r="B460" s="260"/>
      <c r="C460" s="260"/>
      <c r="D460" s="358" t="s">
        <v>30</v>
      </c>
      <c r="E460" s="282">
        <f t="shared" ref="E460:P460" si="322">+IF(E459-E447&gt;E454,IF(E459-E447&gt;E452,E452,E459-E447),0)</f>
        <v>0</v>
      </c>
      <c r="F460" s="282">
        <f t="shared" si="322"/>
        <v>0</v>
      </c>
      <c r="G460" s="282">
        <f t="shared" si="322"/>
        <v>0</v>
      </c>
      <c r="H460" s="282">
        <f t="shared" si="322"/>
        <v>0</v>
      </c>
      <c r="I460" s="282">
        <f t="shared" si="322"/>
        <v>0</v>
      </c>
      <c r="J460" s="282">
        <f t="shared" si="322"/>
        <v>0</v>
      </c>
      <c r="K460" s="282">
        <f t="shared" si="322"/>
        <v>0</v>
      </c>
      <c r="L460" s="282">
        <f t="shared" si="322"/>
        <v>0</v>
      </c>
      <c r="M460" s="282">
        <f t="shared" si="322"/>
        <v>0</v>
      </c>
      <c r="N460" s="282">
        <f t="shared" si="322"/>
        <v>0</v>
      </c>
      <c r="O460" s="282">
        <f t="shared" si="322"/>
        <v>0</v>
      </c>
      <c r="P460" s="282">
        <f t="shared" si="322"/>
        <v>0</v>
      </c>
    </row>
    <row r="461" spans="1:16" x14ac:dyDescent="0.2">
      <c r="A461" s="371" t="str">
        <f t="shared" si="288"/>
        <v>Остатъчно време за пети курс</v>
      </c>
      <c r="B461" s="260"/>
      <c r="C461" s="260"/>
      <c r="D461" s="358" t="s">
        <v>30</v>
      </c>
      <c r="E461" s="282">
        <f t="shared" ref="E461:P461" si="323">+IF(E460&gt;0,E459-E460-E447,0)</f>
        <v>0</v>
      </c>
      <c r="F461" s="282">
        <f t="shared" si="323"/>
        <v>0</v>
      </c>
      <c r="G461" s="282">
        <f t="shared" si="323"/>
        <v>0</v>
      </c>
      <c r="H461" s="282">
        <f t="shared" si="323"/>
        <v>0</v>
      </c>
      <c r="I461" s="282">
        <f t="shared" si="323"/>
        <v>0</v>
      </c>
      <c r="J461" s="282">
        <f t="shared" si="323"/>
        <v>0</v>
      </c>
      <c r="K461" s="282">
        <f t="shared" si="323"/>
        <v>0</v>
      </c>
      <c r="L461" s="282">
        <f t="shared" si="323"/>
        <v>0</v>
      </c>
      <c r="M461" s="282">
        <f t="shared" si="323"/>
        <v>0</v>
      </c>
      <c r="N461" s="282">
        <f t="shared" si="323"/>
        <v>0</v>
      </c>
      <c r="O461" s="282">
        <f t="shared" si="323"/>
        <v>0</v>
      </c>
      <c r="P461" s="282">
        <f t="shared" si="323"/>
        <v>0</v>
      </c>
    </row>
    <row r="462" spans="1:16" x14ac:dyDescent="0.2">
      <c r="A462" s="371" t="str">
        <f t="shared" si="288"/>
        <v>Време за натоварване ако остава такова</v>
      </c>
      <c r="B462" s="260"/>
      <c r="C462" s="260"/>
      <c r="D462" s="358" t="s">
        <v>30</v>
      </c>
      <c r="E462" s="282">
        <f t="shared" ref="E462:P462" si="324">+IF(E461-E447&gt;E454,IF(E461-E447&gt;E452,E452,E461-E447),0)</f>
        <v>0</v>
      </c>
      <c r="F462" s="282">
        <f t="shared" si="324"/>
        <v>0</v>
      </c>
      <c r="G462" s="282">
        <f t="shared" si="324"/>
        <v>0</v>
      </c>
      <c r="H462" s="282">
        <f t="shared" si="324"/>
        <v>0</v>
      </c>
      <c r="I462" s="282">
        <f t="shared" si="324"/>
        <v>0</v>
      </c>
      <c r="J462" s="282">
        <f t="shared" si="324"/>
        <v>0</v>
      </c>
      <c r="K462" s="282">
        <f t="shared" si="324"/>
        <v>0</v>
      </c>
      <c r="L462" s="282">
        <f t="shared" si="324"/>
        <v>0</v>
      </c>
      <c r="M462" s="282">
        <f t="shared" si="324"/>
        <v>0</v>
      </c>
      <c r="N462" s="282">
        <f t="shared" si="324"/>
        <v>0</v>
      </c>
      <c r="O462" s="282">
        <f t="shared" si="324"/>
        <v>0</v>
      </c>
      <c r="P462" s="282">
        <f t="shared" si="324"/>
        <v>0</v>
      </c>
    </row>
    <row r="463" spans="1:16" x14ac:dyDescent="0.2">
      <c r="A463" s="371"/>
      <c r="B463" s="260"/>
      <c r="C463" s="260"/>
      <c r="D463" s="358"/>
      <c r="E463" s="280"/>
      <c r="F463" s="280"/>
      <c r="G463" s="280"/>
      <c r="H463" s="280"/>
      <c r="I463" s="280"/>
      <c r="J463" s="280"/>
      <c r="K463" s="280"/>
      <c r="L463" s="280"/>
      <c r="M463" s="280"/>
      <c r="N463" s="280"/>
      <c r="O463" s="280"/>
      <c r="P463" s="280"/>
    </row>
    <row r="464" spans="1:16" x14ac:dyDescent="0.2">
      <c r="A464" s="371" t="str">
        <f t="shared" si="288"/>
        <v>Среден брой курсове дневно</v>
      </c>
      <c r="B464" s="260"/>
      <c r="C464" s="260"/>
      <c r="D464" s="358" t="s">
        <v>81</v>
      </c>
      <c r="E464" s="280">
        <f t="shared" ref="E464:P464" si="325">IF(E451=0,0,+(E462+E460+E458+E456+E452)/E451)</f>
        <v>2.6911497386957519</v>
      </c>
      <c r="F464" s="280">
        <f t="shared" si="325"/>
        <v>2.6911497386957519</v>
      </c>
      <c r="G464" s="280">
        <f t="shared" si="325"/>
        <v>2.6911497386957519</v>
      </c>
      <c r="H464" s="280">
        <f t="shared" si="325"/>
        <v>2.6911497386957519</v>
      </c>
      <c r="I464" s="280">
        <f t="shared" si="325"/>
        <v>2.6911497386957519</v>
      </c>
      <c r="J464" s="280">
        <f t="shared" si="325"/>
        <v>2.6911497386957519</v>
      </c>
      <c r="K464" s="280">
        <f t="shared" si="325"/>
        <v>2.6911497386957519</v>
      </c>
      <c r="L464" s="280">
        <f t="shared" si="325"/>
        <v>2.6911497386957519</v>
      </c>
      <c r="M464" s="280">
        <f t="shared" si="325"/>
        <v>2.6911497386957519</v>
      </c>
      <c r="N464" s="280">
        <f t="shared" si="325"/>
        <v>2.6911497386957519</v>
      </c>
      <c r="O464" s="280">
        <f t="shared" si="325"/>
        <v>2.6911497386957519</v>
      </c>
      <c r="P464" s="280">
        <f t="shared" si="325"/>
        <v>2.6911497386957519</v>
      </c>
    </row>
    <row r="465" spans="1:16" x14ac:dyDescent="0.2">
      <c r="A465" s="371" t="str">
        <f t="shared" si="288"/>
        <v>Средно количество събрани отпадъци дневно</v>
      </c>
      <c r="B465" s="260"/>
      <c r="C465" s="260"/>
      <c r="D465" s="358" t="s">
        <v>82</v>
      </c>
      <c r="E465" s="280">
        <f t="shared" ref="E465:P465" si="326">+E464*E439</f>
        <v>13.078987730061353</v>
      </c>
      <c r="F465" s="280">
        <f t="shared" si="326"/>
        <v>13.078987730061353</v>
      </c>
      <c r="G465" s="280">
        <f t="shared" si="326"/>
        <v>13.078987730061353</v>
      </c>
      <c r="H465" s="280">
        <f t="shared" si="326"/>
        <v>13.078987730061353</v>
      </c>
      <c r="I465" s="280">
        <f t="shared" si="326"/>
        <v>13.078987730061353</v>
      </c>
      <c r="J465" s="280">
        <f t="shared" si="326"/>
        <v>13.078987730061353</v>
      </c>
      <c r="K465" s="280">
        <f t="shared" si="326"/>
        <v>13.078987730061353</v>
      </c>
      <c r="L465" s="280">
        <f t="shared" si="326"/>
        <v>13.078987730061353</v>
      </c>
      <c r="M465" s="280">
        <f t="shared" si="326"/>
        <v>13.078987730061353</v>
      </c>
      <c r="N465" s="280">
        <f t="shared" si="326"/>
        <v>13.078987730061353</v>
      </c>
      <c r="O465" s="280">
        <f t="shared" si="326"/>
        <v>13.078987730061353</v>
      </c>
      <c r="P465" s="280">
        <f t="shared" si="326"/>
        <v>13.078987730061353</v>
      </c>
    </row>
    <row r="466" spans="1:16" x14ac:dyDescent="0.2">
      <c r="A466" s="371" t="s">
        <v>261</v>
      </c>
      <c r="B466" s="260"/>
      <c r="C466" s="260"/>
      <c r="D466" s="358"/>
      <c r="E466" s="270"/>
      <c r="F466" s="270"/>
      <c r="G466" s="270"/>
      <c r="H466" s="270"/>
      <c r="I466" s="270"/>
      <c r="J466" s="270"/>
      <c r="K466" s="270"/>
      <c r="L466" s="270"/>
      <c r="M466" s="270"/>
      <c r="N466" s="270"/>
      <c r="O466" s="270"/>
      <c r="P466" s="270"/>
    </row>
    <row r="467" spans="1:16" ht="13.5" customHeight="1" x14ac:dyDescent="0.2">
      <c r="A467" s="378" t="str">
        <f t="shared" si="288"/>
        <v>Инвестиции</v>
      </c>
      <c r="B467" s="262"/>
      <c r="C467" s="262"/>
      <c r="D467" s="358"/>
      <c r="E467" s="265"/>
      <c r="F467" s="265"/>
      <c r="G467" s="265"/>
      <c r="H467" s="265"/>
      <c r="I467" s="265"/>
      <c r="J467" s="265"/>
      <c r="K467" s="265"/>
      <c r="L467" s="261"/>
      <c r="M467" s="261"/>
      <c r="N467" s="261"/>
      <c r="O467" s="261"/>
      <c r="P467" s="260"/>
    </row>
    <row r="468" spans="1:16" x14ac:dyDescent="0.2">
      <c r="A468" s="371" t="str">
        <f t="shared" si="288"/>
        <v>Необходими автомобили за събиране, включително резерви</v>
      </c>
      <c r="B468" s="260"/>
      <c r="C468" s="260"/>
      <c r="D468" s="358" t="s">
        <v>84</v>
      </c>
      <c r="E468" s="279">
        <f t="shared" ref="E468:P468" si="327">E469/E440</f>
        <v>0.22946204122674707</v>
      </c>
      <c r="F468" s="279">
        <f t="shared" si="327"/>
        <v>0.22946204122674707</v>
      </c>
      <c r="G468" s="279">
        <f t="shared" si="327"/>
        <v>0.22946204122674707</v>
      </c>
      <c r="H468" s="279">
        <f t="shared" si="327"/>
        <v>0.22946204122674707</v>
      </c>
      <c r="I468" s="279">
        <f t="shared" si="327"/>
        <v>0.22946204122674707</v>
      </c>
      <c r="J468" s="279">
        <f t="shared" si="327"/>
        <v>0.22946204122674707</v>
      </c>
      <c r="K468" s="279">
        <f t="shared" si="327"/>
        <v>0.22946204122674707</v>
      </c>
      <c r="L468" s="279">
        <f t="shared" si="327"/>
        <v>0.22946204122674707</v>
      </c>
      <c r="M468" s="279">
        <f t="shared" si="327"/>
        <v>0.22946204122674707</v>
      </c>
      <c r="N468" s="279">
        <f t="shared" si="327"/>
        <v>0.22946204122674707</v>
      </c>
      <c r="O468" s="279">
        <f t="shared" si="327"/>
        <v>0.22946204122674707</v>
      </c>
      <c r="P468" s="279">
        <f t="shared" si="327"/>
        <v>0.22946204122674707</v>
      </c>
    </row>
    <row r="469" spans="1:16" x14ac:dyDescent="0.2">
      <c r="A469" s="371" t="str">
        <f t="shared" si="288"/>
        <v>Автомобили за събиране в действие</v>
      </c>
      <c r="B469" s="262"/>
      <c r="C469" s="262"/>
      <c r="D469" s="358" t="s">
        <v>84</v>
      </c>
      <c r="E469" s="279">
        <f t="shared" ref="E469:P469" si="328">IF(E465=0,0,E400/E417/E465)</f>
        <v>0.195042735042735</v>
      </c>
      <c r="F469" s="279">
        <f t="shared" si="328"/>
        <v>0.195042735042735</v>
      </c>
      <c r="G469" s="279">
        <f t="shared" si="328"/>
        <v>0.195042735042735</v>
      </c>
      <c r="H469" s="279">
        <f t="shared" si="328"/>
        <v>0.195042735042735</v>
      </c>
      <c r="I469" s="279">
        <f t="shared" si="328"/>
        <v>0.195042735042735</v>
      </c>
      <c r="J469" s="279">
        <f t="shared" si="328"/>
        <v>0.195042735042735</v>
      </c>
      <c r="K469" s="279">
        <f t="shared" si="328"/>
        <v>0.195042735042735</v>
      </c>
      <c r="L469" s="279">
        <f t="shared" si="328"/>
        <v>0.195042735042735</v>
      </c>
      <c r="M469" s="279">
        <f t="shared" si="328"/>
        <v>0.195042735042735</v>
      </c>
      <c r="N469" s="279">
        <f t="shared" si="328"/>
        <v>0.195042735042735</v>
      </c>
      <c r="O469" s="279">
        <f t="shared" si="328"/>
        <v>0.195042735042735</v>
      </c>
      <c r="P469" s="279">
        <f t="shared" si="328"/>
        <v>0.195042735042735</v>
      </c>
    </row>
    <row r="470" spans="1:16" x14ac:dyDescent="0.2">
      <c r="A470" s="371" t="str">
        <f t="shared" si="288"/>
        <v>Необходим брой нови автомобили за събиране</v>
      </c>
      <c r="B470" s="283"/>
      <c r="C470" s="260"/>
      <c r="D470" s="358" t="s">
        <v>84</v>
      </c>
      <c r="E470" s="284">
        <f t="shared" ref="E470:P470" si="329">+ROUNDUP(E468,1)</f>
        <v>0.30000000000000004</v>
      </c>
      <c r="F470" s="284">
        <f t="shared" si="329"/>
        <v>0.30000000000000004</v>
      </c>
      <c r="G470" s="284">
        <f t="shared" si="329"/>
        <v>0.30000000000000004</v>
      </c>
      <c r="H470" s="284">
        <f t="shared" si="329"/>
        <v>0.30000000000000004</v>
      </c>
      <c r="I470" s="284">
        <f t="shared" si="329"/>
        <v>0.30000000000000004</v>
      </c>
      <c r="J470" s="284">
        <f t="shared" si="329"/>
        <v>0.30000000000000004</v>
      </c>
      <c r="K470" s="284">
        <f t="shared" si="329"/>
        <v>0.30000000000000004</v>
      </c>
      <c r="L470" s="284">
        <f t="shared" si="329"/>
        <v>0.30000000000000004</v>
      </c>
      <c r="M470" s="284">
        <f t="shared" si="329"/>
        <v>0.30000000000000004</v>
      </c>
      <c r="N470" s="284">
        <f t="shared" si="329"/>
        <v>0.30000000000000004</v>
      </c>
      <c r="O470" s="284">
        <f t="shared" si="329"/>
        <v>0.30000000000000004</v>
      </c>
      <c r="P470" s="284">
        <f t="shared" si="329"/>
        <v>0.30000000000000004</v>
      </c>
    </row>
    <row r="471" spans="1:16" x14ac:dyDescent="0.2">
      <c r="D471" s="359"/>
      <c r="E471" s="92"/>
      <c r="F471" s="92"/>
      <c r="G471" s="92"/>
      <c r="H471" s="92"/>
      <c r="I471" s="92"/>
      <c r="J471" s="92"/>
      <c r="K471" s="92"/>
      <c r="L471" s="93"/>
    </row>
    <row r="472" spans="1:16" x14ac:dyDescent="0.2">
      <c r="D472" s="359"/>
    </row>
    <row r="473" spans="1:16" x14ac:dyDescent="0.2">
      <c r="A473" s="82" t="s">
        <v>114</v>
      </c>
      <c r="D473" s="359"/>
      <c r="E473" s="94"/>
      <c r="F473" s="94"/>
      <c r="G473" s="94"/>
      <c r="H473" s="94"/>
      <c r="I473" s="94"/>
      <c r="J473" s="94"/>
      <c r="K473" s="94"/>
      <c r="L473" s="94"/>
      <c r="M473" s="94"/>
      <c r="N473" s="94"/>
      <c r="O473" s="94"/>
      <c r="P473" s="94"/>
    </row>
    <row r="474" spans="1:16" x14ac:dyDescent="0.2">
      <c r="A474" s="54" t="s">
        <v>83</v>
      </c>
      <c r="D474" s="359"/>
      <c r="E474" s="91">
        <f t="shared" ref="E474:P474" si="330">E89+E164+E316+E392</f>
        <v>2.2865853531740754</v>
      </c>
      <c r="F474" s="91">
        <f t="shared" si="330"/>
        <v>2.2865853531740754</v>
      </c>
      <c r="G474" s="91">
        <f t="shared" si="330"/>
        <v>2.2865853531740754</v>
      </c>
      <c r="H474" s="91">
        <f t="shared" si="330"/>
        <v>2.2865853531740754</v>
      </c>
      <c r="I474" s="91">
        <f t="shared" si="330"/>
        <v>2.2865853531740754</v>
      </c>
      <c r="J474" s="91">
        <f t="shared" si="330"/>
        <v>2.2865853531740754</v>
      </c>
      <c r="K474" s="91">
        <f t="shared" si="330"/>
        <v>2.2865853531740754</v>
      </c>
      <c r="L474" s="91">
        <f t="shared" si="330"/>
        <v>2.2865853531740754</v>
      </c>
      <c r="M474" s="91">
        <f t="shared" si="330"/>
        <v>2.2865853531740754</v>
      </c>
      <c r="N474" s="91">
        <f t="shared" si="330"/>
        <v>2.2865853531740754</v>
      </c>
      <c r="O474" s="91">
        <f t="shared" si="330"/>
        <v>2.2865853531740754</v>
      </c>
      <c r="P474" s="91">
        <f t="shared" si="330"/>
        <v>2.2865853531740754</v>
      </c>
    </row>
    <row r="475" spans="1:16" x14ac:dyDescent="0.2">
      <c r="A475" s="54" t="s">
        <v>116</v>
      </c>
      <c r="D475" s="359"/>
      <c r="E475" s="91">
        <f t="shared" ref="E475:P475" si="331">E90+E165+E317+E393</f>
        <v>1.9435975501979641</v>
      </c>
      <c r="F475" s="91">
        <f t="shared" si="331"/>
        <v>1.9435975501979641</v>
      </c>
      <c r="G475" s="91">
        <f t="shared" si="331"/>
        <v>1.9435975501979641</v>
      </c>
      <c r="H475" s="91">
        <f t="shared" si="331"/>
        <v>1.9435975501979641</v>
      </c>
      <c r="I475" s="91">
        <f t="shared" si="331"/>
        <v>1.9435975501979641</v>
      </c>
      <c r="J475" s="91">
        <f t="shared" si="331"/>
        <v>1.9435975501979641</v>
      </c>
      <c r="K475" s="91">
        <f t="shared" si="331"/>
        <v>1.9435975501979641</v>
      </c>
      <c r="L475" s="91">
        <f t="shared" si="331"/>
        <v>1.9435975501979641</v>
      </c>
      <c r="M475" s="91">
        <f t="shared" si="331"/>
        <v>1.9435975501979641</v>
      </c>
      <c r="N475" s="91">
        <f t="shared" si="331"/>
        <v>1.9435975501979641</v>
      </c>
      <c r="O475" s="91">
        <f t="shared" si="331"/>
        <v>1.9435975501979641</v>
      </c>
      <c r="P475" s="91">
        <f t="shared" si="331"/>
        <v>1.9435975501979641</v>
      </c>
    </row>
    <row r="476" spans="1:16" x14ac:dyDescent="0.2">
      <c r="A476" s="54" t="s">
        <v>113</v>
      </c>
      <c r="D476" s="359"/>
      <c r="E476" s="91">
        <f>ROUNDUP(E474,0)</f>
        <v>3</v>
      </c>
      <c r="F476" s="91">
        <f t="shared" ref="F476:P476" si="332">ROUNDUP(F474,0)</f>
        <v>3</v>
      </c>
      <c r="G476" s="91">
        <f t="shared" si="332"/>
        <v>3</v>
      </c>
      <c r="H476" s="91">
        <f t="shared" si="332"/>
        <v>3</v>
      </c>
      <c r="I476" s="91">
        <f t="shared" si="332"/>
        <v>3</v>
      </c>
      <c r="J476" s="91">
        <f t="shared" si="332"/>
        <v>3</v>
      </c>
      <c r="K476" s="91">
        <f t="shared" si="332"/>
        <v>3</v>
      </c>
      <c r="L476" s="91">
        <f t="shared" si="332"/>
        <v>3</v>
      </c>
      <c r="M476" s="91">
        <f t="shared" si="332"/>
        <v>3</v>
      </c>
      <c r="N476" s="91">
        <f t="shared" si="332"/>
        <v>3</v>
      </c>
      <c r="O476" s="91">
        <f t="shared" si="332"/>
        <v>3</v>
      </c>
      <c r="P476" s="91">
        <f t="shared" si="332"/>
        <v>3</v>
      </c>
    </row>
    <row r="477" spans="1:16" x14ac:dyDescent="0.2">
      <c r="A477" s="82"/>
      <c r="D477" s="359"/>
      <c r="E477" s="91"/>
      <c r="F477" s="91"/>
      <c r="G477" s="91"/>
      <c r="H477" s="91"/>
      <c r="I477" s="91"/>
      <c r="J477" s="91"/>
      <c r="K477" s="91"/>
      <c r="L477" s="91"/>
      <c r="M477" s="91"/>
      <c r="N477" s="91"/>
      <c r="O477" s="91"/>
      <c r="P477" s="91"/>
    </row>
    <row r="478" spans="1:16" x14ac:dyDescent="0.2">
      <c r="D478" s="359"/>
      <c r="E478" s="91"/>
      <c r="F478" s="91"/>
      <c r="G478" s="91"/>
      <c r="H478" s="91"/>
      <c r="I478" s="91"/>
      <c r="J478" s="91"/>
      <c r="K478" s="91"/>
      <c r="L478" s="91"/>
      <c r="M478" s="91"/>
      <c r="N478" s="91"/>
      <c r="O478" s="91"/>
      <c r="P478" s="91"/>
    </row>
    <row r="479" spans="1:16" x14ac:dyDescent="0.2">
      <c r="D479" s="359"/>
      <c r="E479" s="88"/>
      <c r="F479" s="88"/>
      <c r="G479" s="88"/>
      <c r="H479" s="88"/>
      <c r="I479" s="88"/>
      <c r="J479" s="88"/>
      <c r="K479" s="88"/>
      <c r="L479" s="88"/>
      <c r="M479" s="88"/>
      <c r="N479" s="88"/>
      <c r="O479" s="88"/>
      <c r="P479" s="88"/>
    </row>
    <row r="480" spans="1:16" x14ac:dyDescent="0.2">
      <c r="A480" s="82" t="s">
        <v>115</v>
      </c>
      <c r="D480" s="359"/>
      <c r="E480" s="88"/>
      <c r="F480" s="88"/>
      <c r="G480" s="88"/>
      <c r="H480" s="88"/>
      <c r="I480" s="88"/>
      <c r="J480" s="88"/>
      <c r="K480" s="88"/>
      <c r="L480" s="88"/>
      <c r="M480" s="88"/>
      <c r="N480" s="88"/>
      <c r="O480" s="88"/>
      <c r="P480" s="88"/>
    </row>
    <row r="481" spans="1:16" x14ac:dyDescent="0.2">
      <c r="A481" s="54" t="s">
        <v>83</v>
      </c>
      <c r="D481" s="359"/>
      <c r="E481" s="91">
        <f t="shared" ref="E481:P481" si="333">E468+E240</f>
        <v>0.33325598483969521</v>
      </c>
      <c r="F481" s="91">
        <f t="shared" si="333"/>
        <v>0.33325598483969521</v>
      </c>
      <c r="G481" s="91">
        <f t="shared" si="333"/>
        <v>0.33325598483969521</v>
      </c>
      <c r="H481" s="91">
        <f t="shared" si="333"/>
        <v>0.33325598483969521</v>
      </c>
      <c r="I481" s="91">
        <f t="shared" si="333"/>
        <v>0.33325598483969521</v>
      </c>
      <c r="J481" s="91">
        <f t="shared" si="333"/>
        <v>0.33325598483969521</v>
      </c>
      <c r="K481" s="91">
        <f t="shared" si="333"/>
        <v>0.33325598483969521</v>
      </c>
      <c r="L481" s="91">
        <f t="shared" si="333"/>
        <v>0.33325598483969521</v>
      </c>
      <c r="M481" s="91">
        <f t="shared" si="333"/>
        <v>0.33325598483969521</v>
      </c>
      <c r="N481" s="91">
        <f t="shared" si="333"/>
        <v>0.33325598483969521</v>
      </c>
      <c r="O481" s="91">
        <f t="shared" si="333"/>
        <v>0.33325598483969521</v>
      </c>
      <c r="P481" s="91">
        <f t="shared" si="333"/>
        <v>0.33325598483969521</v>
      </c>
    </row>
    <row r="482" spans="1:16" x14ac:dyDescent="0.2">
      <c r="A482" s="54" t="s">
        <v>116</v>
      </c>
      <c r="D482" s="359"/>
      <c r="E482" s="91">
        <f t="shared" ref="E482:P482" si="334">E469+E241</f>
        <v>0.28326758711374089</v>
      </c>
      <c r="F482" s="91">
        <f t="shared" si="334"/>
        <v>0.28326758711374089</v>
      </c>
      <c r="G482" s="91">
        <f t="shared" si="334"/>
        <v>0.28326758711374089</v>
      </c>
      <c r="H482" s="91">
        <f t="shared" si="334"/>
        <v>0.28326758711374089</v>
      </c>
      <c r="I482" s="91">
        <f t="shared" si="334"/>
        <v>0.28326758711374089</v>
      </c>
      <c r="J482" s="91">
        <f t="shared" si="334"/>
        <v>0.28326758711374089</v>
      </c>
      <c r="K482" s="91">
        <f t="shared" si="334"/>
        <v>0.28326758711374089</v>
      </c>
      <c r="L482" s="91">
        <f t="shared" si="334"/>
        <v>0.28326758711374089</v>
      </c>
      <c r="M482" s="91">
        <f t="shared" si="334"/>
        <v>0.28326758711374089</v>
      </c>
      <c r="N482" s="91">
        <f t="shared" si="334"/>
        <v>0.28326758711374089</v>
      </c>
      <c r="O482" s="91">
        <f t="shared" si="334"/>
        <v>0.28326758711374089</v>
      </c>
      <c r="P482" s="91">
        <f t="shared" si="334"/>
        <v>0.28326758711374089</v>
      </c>
    </row>
    <row r="483" spans="1:16" x14ac:dyDescent="0.2">
      <c r="A483" s="54" t="s">
        <v>113</v>
      </c>
      <c r="D483" s="359"/>
      <c r="E483" s="91">
        <f>ROUNDUP(E481,0)</f>
        <v>1</v>
      </c>
      <c r="F483" s="91">
        <f t="shared" ref="F483:P483" si="335">ROUNDUP(F481,0)</f>
        <v>1</v>
      </c>
      <c r="G483" s="91">
        <f t="shared" si="335"/>
        <v>1</v>
      </c>
      <c r="H483" s="91">
        <f t="shared" si="335"/>
        <v>1</v>
      </c>
      <c r="I483" s="91">
        <f t="shared" si="335"/>
        <v>1</v>
      </c>
      <c r="J483" s="91">
        <f t="shared" si="335"/>
        <v>1</v>
      </c>
      <c r="K483" s="91">
        <f t="shared" si="335"/>
        <v>1</v>
      </c>
      <c r="L483" s="91">
        <f t="shared" si="335"/>
        <v>1</v>
      </c>
      <c r="M483" s="91">
        <f t="shared" si="335"/>
        <v>1</v>
      </c>
      <c r="N483" s="91">
        <f t="shared" si="335"/>
        <v>1</v>
      </c>
      <c r="O483" s="91">
        <f t="shared" si="335"/>
        <v>1</v>
      </c>
      <c r="P483" s="91">
        <f t="shared" si="335"/>
        <v>1</v>
      </c>
    </row>
    <row r="484" spans="1:16" x14ac:dyDescent="0.2">
      <c r="D484" s="359"/>
      <c r="E484" s="95"/>
      <c r="F484" s="95"/>
      <c r="G484" s="95"/>
      <c r="H484" s="95"/>
      <c r="I484" s="95"/>
      <c r="J484" s="95"/>
      <c r="K484" s="95"/>
      <c r="L484" s="95"/>
      <c r="M484" s="95"/>
      <c r="N484" s="95"/>
      <c r="O484" s="95"/>
      <c r="P484" s="95"/>
    </row>
    <row r="485" spans="1:16" x14ac:dyDescent="0.2">
      <c r="D485" s="359"/>
      <c r="E485" s="92"/>
      <c r="F485" s="92"/>
      <c r="G485" s="92"/>
      <c r="H485" s="92"/>
      <c r="I485" s="92"/>
      <c r="J485" s="92"/>
      <c r="K485" s="92"/>
      <c r="L485" s="92"/>
      <c r="M485" s="92"/>
      <c r="N485" s="92"/>
      <c r="O485" s="92"/>
      <c r="P485" s="92"/>
    </row>
    <row r="486" spans="1:16" ht="18.75" x14ac:dyDescent="0.3">
      <c r="A486" s="379" t="s">
        <v>221</v>
      </c>
      <c r="B486" s="379" t="str">
        <f>'Изходни данни'!A6</f>
        <v>големи населени места (повече от 3000 жители)</v>
      </c>
      <c r="D486" s="359"/>
    </row>
    <row r="487" spans="1:16" x14ac:dyDescent="0.2">
      <c r="D487" s="359"/>
      <c r="L487" s="83"/>
      <c r="M487" s="83"/>
      <c r="N487" s="83"/>
      <c r="O487" s="83"/>
      <c r="P487" s="83"/>
    </row>
    <row r="488" spans="1:16" x14ac:dyDescent="0.2">
      <c r="A488" s="380" t="str">
        <f>A19</f>
        <v>Обслужвано население</v>
      </c>
      <c r="B488" s="381"/>
      <c r="C488" s="381"/>
      <c r="D488" s="382"/>
      <c r="E488" s="383">
        <f>'Изходни данни'!C18</f>
        <v>0</v>
      </c>
      <c r="F488" s="383">
        <f>'Изходни данни'!D18</f>
        <v>20000</v>
      </c>
      <c r="G488" s="383">
        <f>'Изходни данни'!E18</f>
        <v>20000</v>
      </c>
      <c r="H488" s="383">
        <f>'Изходни данни'!F18</f>
        <v>20000</v>
      </c>
      <c r="I488" s="383">
        <f>'Изходни данни'!G18</f>
        <v>20000</v>
      </c>
      <c r="J488" s="383">
        <f>'Изходни данни'!H18</f>
        <v>20000</v>
      </c>
      <c r="K488" s="383">
        <f>'Изходни данни'!I18</f>
        <v>20000</v>
      </c>
      <c r="L488" s="383">
        <f>'Изходни данни'!J18</f>
        <v>20000</v>
      </c>
      <c r="M488" s="383">
        <f>'Изходни данни'!K18</f>
        <v>20000</v>
      </c>
      <c r="N488" s="383">
        <f>'Изходни данни'!L18</f>
        <v>20000</v>
      </c>
      <c r="O488" s="383">
        <f>'Изходни данни'!M18</f>
        <v>20000</v>
      </c>
      <c r="P488" s="383">
        <f>'Изходни данни'!N18</f>
        <v>20000</v>
      </c>
    </row>
    <row r="489" spans="1:16" x14ac:dyDescent="0.2">
      <c r="A489" s="381"/>
      <c r="B489" s="381"/>
      <c r="C489" s="381"/>
      <c r="D489" s="384"/>
      <c r="E489" s="385"/>
      <c r="F489" s="385"/>
      <c r="G489" s="385"/>
      <c r="H489" s="385"/>
      <c r="I489" s="385"/>
      <c r="J489" s="385"/>
      <c r="K489" s="385"/>
      <c r="L489" s="385"/>
      <c r="M489" s="385"/>
      <c r="N489" s="385"/>
      <c r="O489" s="385"/>
      <c r="P489" s="385"/>
    </row>
    <row r="490" spans="1:16" x14ac:dyDescent="0.2">
      <c r="A490" s="400" t="s">
        <v>204</v>
      </c>
      <c r="B490" s="386"/>
      <c r="C490" s="386"/>
      <c r="D490" s="384" t="s">
        <v>22</v>
      </c>
      <c r="E490" s="383">
        <f>'Масов баланс'!E360</f>
        <v>0</v>
      </c>
      <c r="F490" s="383">
        <f>'Масов баланс'!F360</f>
        <v>1855</v>
      </c>
      <c r="G490" s="383">
        <f>'Масов баланс'!G360</f>
        <v>1855</v>
      </c>
      <c r="H490" s="383">
        <f>'Масов баланс'!H360</f>
        <v>1855</v>
      </c>
      <c r="I490" s="383">
        <f>'Масов баланс'!I360</f>
        <v>1855</v>
      </c>
      <c r="J490" s="383">
        <f>'Масов баланс'!J360</f>
        <v>1855</v>
      </c>
      <c r="K490" s="383">
        <f>'Масов баланс'!K360</f>
        <v>1855</v>
      </c>
      <c r="L490" s="383">
        <f>'Масов баланс'!L360</f>
        <v>1855</v>
      </c>
      <c r="M490" s="383">
        <f>'Масов баланс'!M360</f>
        <v>1855</v>
      </c>
      <c r="N490" s="383">
        <f>'Масов баланс'!N360</f>
        <v>1855</v>
      </c>
      <c r="O490" s="383">
        <f>'Масов баланс'!O360</f>
        <v>1855</v>
      </c>
      <c r="P490" s="383">
        <f>'Масов баланс'!P360</f>
        <v>1855</v>
      </c>
    </row>
    <row r="491" spans="1:16" x14ac:dyDescent="0.2">
      <c r="A491" s="381"/>
      <c r="B491" s="387"/>
      <c r="C491" s="381"/>
      <c r="D491" s="388"/>
      <c r="E491" s="389"/>
      <c r="F491" s="389"/>
      <c r="G491" s="389"/>
      <c r="H491" s="389"/>
      <c r="I491" s="389"/>
      <c r="J491" s="389"/>
      <c r="K491" s="389"/>
      <c r="L491" s="389"/>
      <c r="M491" s="390"/>
      <c r="N491" s="390"/>
      <c r="O491" s="385"/>
      <c r="P491" s="385"/>
    </row>
    <row r="492" spans="1:16" x14ac:dyDescent="0.2">
      <c r="A492" s="380" t="s">
        <v>26</v>
      </c>
      <c r="B492" s="381"/>
      <c r="C492" s="381"/>
      <c r="D492" s="384"/>
      <c r="E492" s="389"/>
      <c r="F492" s="389"/>
      <c r="G492" s="389"/>
      <c r="H492" s="389"/>
      <c r="I492" s="389"/>
      <c r="J492" s="389"/>
      <c r="K492" s="389"/>
      <c r="L492" s="390"/>
      <c r="M492" s="390"/>
      <c r="N492" s="390"/>
      <c r="O492" s="385"/>
      <c r="P492" s="385"/>
    </row>
    <row r="493" spans="1:16" x14ac:dyDescent="0.2">
      <c r="A493" s="381" t="s">
        <v>27</v>
      </c>
      <c r="B493" s="381"/>
      <c r="C493" s="381"/>
      <c r="D493" s="384" t="s">
        <v>28</v>
      </c>
      <c r="E493" s="381">
        <v>5</v>
      </c>
      <c r="F493" s="381">
        <f t="shared" ref="F493:P493" si="336">E493</f>
        <v>5</v>
      </c>
      <c r="G493" s="381">
        <f t="shared" si="336"/>
        <v>5</v>
      </c>
      <c r="H493" s="381">
        <f t="shared" si="336"/>
        <v>5</v>
      </c>
      <c r="I493" s="381">
        <f t="shared" si="336"/>
        <v>5</v>
      </c>
      <c r="J493" s="381">
        <f t="shared" si="336"/>
        <v>5</v>
      </c>
      <c r="K493" s="381">
        <f t="shared" si="336"/>
        <v>5</v>
      </c>
      <c r="L493" s="381">
        <f t="shared" si="336"/>
        <v>5</v>
      </c>
      <c r="M493" s="381">
        <f t="shared" si="336"/>
        <v>5</v>
      </c>
      <c r="N493" s="381">
        <f t="shared" si="336"/>
        <v>5</v>
      </c>
      <c r="O493" s="381">
        <f t="shared" si="336"/>
        <v>5</v>
      </c>
      <c r="P493" s="381">
        <f t="shared" si="336"/>
        <v>5</v>
      </c>
    </row>
    <row r="494" spans="1:16" x14ac:dyDescent="0.2">
      <c r="A494" s="381" t="s">
        <v>29</v>
      </c>
      <c r="B494" s="381"/>
      <c r="C494" s="381"/>
      <c r="D494" s="384" t="s">
        <v>30</v>
      </c>
      <c r="E494" s="381">
        <v>8</v>
      </c>
      <c r="F494" s="381">
        <f t="shared" ref="F494:P494" si="337">E494</f>
        <v>8</v>
      </c>
      <c r="G494" s="381">
        <f t="shared" si="337"/>
        <v>8</v>
      </c>
      <c r="H494" s="381">
        <f t="shared" si="337"/>
        <v>8</v>
      </c>
      <c r="I494" s="381">
        <f t="shared" si="337"/>
        <v>8</v>
      </c>
      <c r="J494" s="381">
        <f t="shared" si="337"/>
        <v>8</v>
      </c>
      <c r="K494" s="381">
        <f t="shared" si="337"/>
        <v>8</v>
      </c>
      <c r="L494" s="381">
        <f t="shared" si="337"/>
        <v>8</v>
      </c>
      <c r="M494" s="381">
        <f t="shared" si="337"/>
        <v>8</v>
      </c>
      <c r="N494" s="381">
        <f t="shared" si="337"/>
        <v>8</v>
      </c>
      <c r="O494" s="381">
        <f t="shared" si="337"/>
        <v>8</v>
      </c>
      <c r="P494" s="381">
        <f t="shared" si="337"/>
        <v>8</v>
      </c>
    </row>
    <row r="495" spans="1:16" x14ac:dyDescent="0.2">
      <c r="A495" s="381" t="s">
        <v>31</v>
      </c>
      <c r="B495" s="381"/>
      <c r="C495" s="381"/>
      <c r="D495" s="384" t="s">
        <v>32</v>
      </c>
      <c r="E495" s="381">
        <v>1</v>
      </c>
      <c r="F495" s="381">
        <f t="shared" ref="F495:P495" si="338">E495</f>
        <v>1</v>
      </c>
      <c r="G495" s="381">
        <f t="shared" si="338"/>
        <v>1</v>
      </c>
      <c r="H495" s="381">
        <f t="shared" si="338"/>
        <v>1</v>
      </c>
      <c r="I495" s="381">
        <f t="shared" si="338"/>
        <v>1</v>
      </c>
      <c r="J495" s="381">
        <f t="shared" si="338"/>
        <v>1</v>
      </c>
      <c r="K495" s="381">
        <f t="shared" si="338"/>
        <v>1</v>
      </c>
      <c r="L495" s="381">
        <f t="shared" si="338"/>
        <v>1</v>
      </c>
      <c r="M495" s="381">
        <f t="shared" si="338"/>
        <v>1</v>
      </c>
      <c r="N495" s="381">
        <f t="shared" si="338"/>
        <v>1</v>
      </c>
      <c r="O495" s="381">
        <f t="shared" si="338"/>
        <v>1</v>
      </c>
      <c r="P495" s="381">
        <f t="shared" si="338"/>
        <v>1</v>
      </c>
    </row>
    <row r="496" spans="1:16" x14ac:dyDescent="0.2">
      <c r="A496" s="381"/>
      <c r="B496" s="381"/>
      <c r="C496" s="381"/>
      <c r="D496" s="384"/>
      <c r="E496" s="381"/>
      <c r="F496" s="381"/>
      <c r="G496" s="381"/>
      <c r="H496" s="381"/>
      <c r="I496" s="381"/>
      <c r="J496" s="381"/>
      <c r="K496" s="381"/>
      <c r="L496" s="381"/>
      <c r="M496" s="381"/>
      <c r="N496" s="381"/>
      <c r="O496" s="381"/>
      <c r="P496" s="381"/>
    </row>
    <row r="497" spans="1:16" x14ac:dyDescent="0.2">
      <c r="A497" s="386" t="s">
        <v>33</v>
      </c>
      <c r="B497" s="381"/>
      <c r="C497" s="381"/>
      <c r="D497" s="384"/>
      <c r="E497" s="381"/>
      <c r="F497" s="381"/>
      <c r="G497" s="381"/>
      <c r="H497" s="381"/>
      <c r="I497" s="381"/>
      <c r="J497" s="381"/>
      <c r="K497" s="381"/>
      <c r="L497" s="381"/>
      <c r="M497" s="381"/>
      <c r="N497" s="381"/>
      <c r="O497" s="381"/>
      <c r="P497" s="381"/>
    </row>
    <row r="498" spans="1:16" x14ac:dyDescent="0.2">
      <c r="A498" s="381" t="str">
        <f>A33</f>
        <v>Работни седмици в годината</v>
      </c>
      <c r="B498" s="381"/>
      <c r="C498" s="381"/>
      <c r="D498" s="384" t="s">
        <v>34</v>
      </c>
      <c r="E498" s="381">
        <v>46</v>
      </c>
      <c r="F498" s="381">
        <v>46</v>
      </c>
      <c r="G498" s="381">
        <v>46</v>
      </c>
      <c r="H498" s="381">
        <v>46</v>
      </c>
      <c r="I498" s="381">
        <v>46</v>
      </c>
      <c r="J498" s="381">
        <v>46</v>
      </c>
      <c r="K498" s="381">
        <v>46</v>
      </c>
      <c r="L498" s="381">
        <v>46</v>
      </c>
      <c r="M498" s="381">
        <v>46</v>
      </c>
      <c r="N498" s="381">
        <v>46</v>
      </c>
      <c r="O498" s="381">
        <v>46</v>
      </c>
      <c r="P498" s="381">
        <v>46</v>
      </c>
    </row>
    <row r="499" spans="1:16" x14ac:dyDescent="0.2">
      <c r="A499" s="381" t="str">
        <f t="shared" ref="A499:A504" si="339">A34</f>
        <v>Работни дни седмично</v>
      </c>
      <c r="B499" s="381"/>
      <c r="C499" s="381"/>
      <c r="D499" s="384" t="s">
        <v>28</v>
      </c>
      <c r="E499" s="381">
        <v>5</v>
      </c>
      <c r="F499" s="381">
        <v>5</v>
      </c>
      <c r="G499" s="381">
        <v>5</v>
      </c>
      <c r="H499" s="381">
        <v>5</v>
      </c>
      <c r="I499" s="381">
        <v>5</v>
      </c>
      <c r="J499" s="381">
        <v>5</v>
      </c>
      <c r="K499" s="381">
        <v>5</v>
      </c>
      <c r="L499" s="381">
        <v>5</v>
      </c>
      <c r="M499" s="381">
        <v>5</v>
      </c>
      <c r="N499" s="381">
        <v>5</v>
      </c>
      <c r="O499" s="381">
        <v>5</v>
      </c>
      <c r="P499" s="381">
        <v>5</v>
      </c>
    </row>
    <row r="500" spans="1:16" x14ac:dyDescent="0.2">
      <c r="A500" s="381" t="str">
        <f t="shared" si="339"/>
        <v>Болнични</v>
      </c>
      <c r="B500" s="381"/>
      <c r="C500" s="381"/>
      <c r="D500" s="384"/>
      <c r="E500" s="391">
        <v>0.05</v>
      </c>
      <c r="F500" s="391">
        <v>0.05</v>
      </c>
      <c r="G500" s="391">
        <v>0.05</v>
      </c>
      <c r="H500" s="391">
        <v>0.05</v>
      </c>
      <c r="I500" s="391">
        <v>0.05</v>
      </c>
      <c r="J500" s="391">
        <v>0.05</v>
      </c>
      <c r="K500" s="391">
        <v>0.05</v>
      </c>
      <c r="L500" s="391">
        <v>0.05</v>
      </c>
      <c r="M500" s="391">
        <v>0.05</v>
      </c>
      <c r="N500" s="391">
        <v>0.05</v>
      </c>
      <c r="O500" s="391">
        <v>0.05</v>
      </c>
      <c r="P500" s="391">
        <v>0.05</v>
      </c>
    </row>
    <row r="501" spans="1:16" x14ac:dyDescent="0.2">
      <c r="A501" s="381" t="str">
        <f t="shared" si="339"/>
        <v>Работни дни в годината</v>
      </c>
      <c r="B501" s="381"/>
      <c r="C501" s="381"/>
      <c r="D501" s="384" t="s">
        <v>37</v>
      </c>
      <c r="E501" s="381">
        <f t="shared" ref="E501:P501" si="340">+E498*E499*(1-E500)</f>
        <v>218.5</v>
      </c>
      <c r="F501" s="381">
        <f t="shared" si="340"/>
        <v>218.5</v>
      </c>
      <c r="G501" s="381">
        <f t="shared" si="340"/>
        <v>218.5</v>
      </c>
      <c r="H501" s="381">
        <f t="shared" si="340"/>
        <v>218.5</v>
      </c>
      <c r="I501" s="381">
        <f t="shared" si="340"/>
        <v>218.5</v>
      </c>
      <c r="J501" s="381">
        <f t="shared" si="340"/>
        <v>218.5</v>
      </c>
      <c r="K501" s="381">
        <f t="shared" si="340"/>
        <v>218.5</v>
      </c>
      <c r="L501" s="381">
        <f t="shared" si="340"/>
        <v>218.5</v>
      </c>
      <c r="M501" s="381">
        <f t="shared" si="340"/>
        <v>218.5</v>
      </c>
      <c r="N501" s="381">
        <f t="shared" si="340"/>
        <v>218.5</v>
      </c>
      <c r="O501" s="381">
        <f t="shared" si="340"/>
        <v>218.5</v>
      </c>
      <c r="P501" s="381">
        <f t="shared" si="340"/>
        <v>218.5</v>
      </c>
    </row>
    <row r="502" spans="1:16" x14ac:dyDescent="0.2">
      <c r="A502" s="381" t="str">
        <f t="shared" si="339"/>
        <v>Работни дни седмично</v>
      </c>
      <c r="B502" s="381"/>
      <c r="C502" s="381"/>
      <c r="D502" s="384" t="s">
        <v>28</v>
      </c>
      <c r="E502" s="381">
        <f t="shared" ref="E502:P502" si="341">+E493</f>
        <v>5</v>
      </c>
      <c r="F502" s="381">
        <f t="shared" si="341"/>
        <v>5</v>
      </c>
      <c r="G502" s="381">
        <f t="shared" si="341"/>
        <v>5</v>
      </c>
      <c r="H502" s="381">
        <f t="shared" si="341"/>
        <v>5</v>
      </c>
      <c r="I502" s="381">
        <f t="shared" si="341"/>
        <v>5</v>
      </c>
      <c r="J502" s="381">
        <f t="shared" si="341"/>
        <v>5</v>
      </c>
      <c r="K502" s="381">
        <f t="shared" si="341"/>
        <v>5</v>
      </c>
      <c r="L502" s="381">
        <f t="shared" si="341"/>
        <v>5</v>
      </c>
      <c r="M502" s="381">
        <f t="shared" si="341"/>
        <v>5</v>
      </c>
      <c r="N502" s="381">
        <f t="shared" si="341"/>
        <v>5</v>
      </c>
      <c r="O502" s="381">
        <f t="shared" si="341"/>
        <v>5</v>
      </c>
      <c r="P502" s="381">
        <f t="shared" si="341"/>
        <v>5</v>
      </c>
    </row>
    <row r="503" spans="1:16" x14ac:dyDescent="0.2">
      <c r="A503" s="381" t="str">
        <f t="shared" si="339"/>
        <v>Необходими работни дни</v>
      </c>
      <c r="B503" s="381"/>
      <c r="C503" s="381"/>
      <c r="D503" s="384" t="s">
        <v>37</v>
      </c>
      <c r="E503" s="381">
        <f t="shared" ref="E503:P503" si="342">40*E502</f>
        <v>200</v>
      </c>
      <c r="F503" s="381">
        <f t="shared" si="342"/>
        <v>200</v>
      </c>
      <c r="G503" s="381">
        <f t="shared" si="342"/>
        <v>200</v>
      </c>
      <c r="H503" s="381">
        <f t="shared" si="342"/>
        <v>200</v>
      </c>
      <c r="I503" s="381">
        <f t="shared" si="342"/>
        <v>200</v>
      </c>
      <c r="J503" s="381">
        <f t="shared" si="342"/>
        <v>200</v>
      </c>
      <c r="K503" s="381">
        <f t="shared" si="342"/>
        <v>200</v>
      </c>
      <c r="L503" s="381">
        <f t="shared" si="342"/>
        <v>200</v>
      </c>
      <c r="M503" s="381">
        <f t="shared" si="342"/>
        <v>200</v>
      </c>
      <c r="N503" s="381">
        <f t="shared" si="342"/>
        <v>200</v>
      </c>
      <c r="O503" s="381">
        <f t="shared" si="342"/>
        <v>200</v>
      </c>
      <c r="P503" s="381">
        <f t="shared" si="342"/>
        <v>200</v>
      </c>
    </row>
    <row r="504" spans="1:16" x14ac:dyDescent="0.2">
      <c r="A504" s="381" t="str">
        <f t="shared" si="339"/>
        <v>Човешки фактор</v>
      </c>
      <c r="B504" s="381"/>
      <c r="C504" s="381"/>
      <c r="D504" s="384"/>
      <c r="E504" s="391">
        <f t="shared" ref="E504:P504" si="343">+E503/E501</f>
        <v>0.91533180778032042</v>
      </c>
      <c r="F504" s="391">
        <f t="shared" si="343"/>
        <v>0.91533180778032042</v>
      </c>
      <c r="G504" s="391">
        <f t="shared" si="343"/>
        <v>0.91533180778032042</v>
      </c>
      <c r="H504" s="391">
        <f t="shared" si="343"/>
        <v>0.91533180778032042</v>
      </c>
      <c r="I504" s="391">
        <f t="shared" si="343"/>
        <v>0.91533180778032042</v>
      </c>
      <c r="J504" s="391">
        <f t="shared" si="343"/>
        <v>0.91533180778032042</v>
      </c>
      <c r="K504" s="391">
        <f t="shared" si="343"/>
        <v>0.91533180778032042</v>
      </c>
      <c r="L504" s="391">
        <f t="shared" si="343"/>
        <v>0.91533180778032042</v>
      </c>
      <c r="M504" s="391">
        <f t="shared" si="343"/>
        <v>0.91533180778032042</v>
      </c>
      <c r="N504" s="391">
        <f t="shared" si="343"/>
        <v>0.91533180778032042</v>
      </c>
      <c r="O504" s="391">
        <f t="shared" si="343"/>
        <v>0.91533180778032042</v>
      </c>
      <c r="P504" s="391">
        <f t="shared" si="343"/>
        <v>0.91533180778032042</v>
      </c>
    </row>
    <row r="505" spans="1:16" x14ac:dyDescent="0.2">
      <c r="A505" s="381"/>
      <c r="B505" s="381"/>
      <c r="C505" s="381"/>
      <c r="D505" s="384"/>
      <c r="E505" s="385"/>
      <c r="F505" s="385"/>
      <c r="G505" s="385"/>
      <c r="H505" s="385"/>
      <c r="I505" s="385"/>
      <c r="J505" s="385"/>
      <c r="K505" s="385"/>
      <c r="L505" s="381"/>
      <c r="M505" s="381"/>
      <c r="N505" s="381"/>
      <c r="O505" s="381"/>
      <c r="P505" s="381"/>
    </row>
    <row r="506" spans="1:16" x14ac:dyDescent="0.2">
      <c r="A506" s="381"/>
      <c r="B506" s="381"/>
      <c r="C506" s="381"/>
      <c r="D506" s="384"/>
      <c r="E506" s="392"/>
      <c r="F506" s="392"/>
      <c r="G506" s="392"/>
      <c r="H506" s="392"/>
      <c r="I506" s="392"/>
      <c r="J506" s="392"/>
      <c r="K506" s="392"/>
      <c r="L506" s="392"/>
      <c r="M506" s="392"/>
      <c r="N506" s="392"/>
      <c r="O506" s="392"/>
      <c r="P506" s="392"/>
    </row>
    <row r="507" spans="1:16" x14ac:dyDescent="0.2">
      <c r="A507" s="386" t="s">
        <v>40</v>
      </c>
      <c r="B507" s="381"/>
      <c r="C507" s="381"/>
      <c r="D507" s="384"/>
      <c r="E507" s="392"/>
      <c r="F507" s="392"/>
      <c r="G507" s="392"/>
      <c r="H507" s="392"/>
      <c r="I507" s="392"/>
      <c r="J507" s="392"/>
      <c r="K507" s="392"/>
      <c r="L507" s="392"/>
      <c r="M507" s="392"/>
      <c r="N507" s="392"/>
      <c r="O507" s="392"/>
      <c r="P507" s="392"/>
    </row>
    <row r="508" spans="1:16" x14ac:dyDescent="0.2">
      <c r="A508" s="381" t="str">
        <f>A42</f>
        <v>Плътност на отпадъците</v>
      </c>
      <c r="B508" s="381"/>
      <c r="C508" s="381"/>
      <c r="D508" s="384" t="s">
        <v>41</v>
      </c>
      <c r="E508" s="390">
        <f>0.17</f>
        <v>0.17</v>
      </c>
      <c r="F508" s="390">
        <f t="shared" ref="F508:P508" si="344">E508</f>
        <v>0.17</v>
      </c>
      <c r="G508" s="390">
        <f t="shared" si="344"/>
        <v>0.17</v>
      </c>
      <c r="H508" s="390">
        <f t="shared" si="344"/>
        <v>0.17</v>
      </c>
      <c r="I508" s="390">
        <f t="shared" si="344"/>
        <v>0.17</v>
      </c>
      <c r="J508" s="390">
        <f t="shared" si="344"/>
        <v>0.17</v>
      </c>
      <c r="K508" s="390">
        <f t="shared" si="344"/>
        <v>0.17</v>
      </c>
      <c r="L508" s="390">
        <f t="shared" si="344"/>
        <v>0.17</v>
      </c>
      <c r="M508" s="390">
        <f t="shared" si="344"/>
        <v>0.17</v>
      </c>
      <c r="N508" s="390">
        <f t="shared" si="344"/>
        <v>0.17</v>
      </c>
      <c r="O508" s="390">
        <f t="shared" si="344"/>
        <v>0.17</v>
      </c>
      <c r="P508" s="390">
        <f t="shared" si="344"/>
        <v>0.17</v>
      </c>
    </row>
    <row r="509" spans="1:16" ht="15" x14ac:dyDescent="0.2">
      <c r="A509" s="381" t="s">
        <v>144</v>
      </c>
      <c r="B509" s="381"/>
      <c r="C509" s="381"/>
      <c r="D509" s="384" t="s">
        <v>202</v>
      </c>
      <c r="E509" s="381">
        <f t="shared" ref="E509:P509" si="345">IF(E490=0,0,E490/E508)</f>
        <v>0</v>
      </c>
      <c r="F509" s="393">
        <f t="shared" si="345"/>
        <v>10911.764705882351</v>
      </c>
      <c r="G509" s="393">
        <f t="shared" si="345"/>
        <v>10911.764705882351</v>
      </c>
      <c r="H509" s="393">
        <f t="shared" si="345"/>
        <v>10911.764705882351</v>
      </c>
      <c r="I509" s="393">
        <f t="shared" si="345"/>
        <v>10911.764705882351</v>
      </c>
      <c r="J509" s="393">
        <f t="shared" si="345"/>
        <v>10911.764705882351</v>
      </c>
      <c r="K509" s="393">
        <f t="shared" si="345"/>
        <v>10911.764705882351</v>
      </c>
      <c r="L509" s="393">
        <f t="shared" si="345"/>
        <v>10911.764705882351</v>
      </c>
      <c r="M509" s="393">
        <f t="shared" si="345"/>
        <v>10911.764705882351</v>
      </c>
      <c r="N509" s="393">
        <f t="shared" si="345"/>
        <v>10911.764705882351</v>
      </c>
      <c r="O509" s="393">
        <f t="shared" si="345"/>
        <v>10911.764705882351</v>
      </c>
      <c r="P509" s="393">
        <f t="shared" si="345"/>
        <v>10911.764705882351</v>
      </c>
    </row>
    <row r="510" spans="1:16" ht="15" x14ac:dyDescent="0.2">
      <c r="A510" s="381" t="s">
        <v>42</v>
      </c>
      <c r="B510" s="381"/>
      <c r="C510" s="381"/>
      <c r="D510" s="384" t="s">
        <v>203</v>
      </c>
      <c r="E510" s="381">
        <f>Допускания!C26</f>
        <v>1.1000000000000001</v>
      </c>
      <c r="F510" s="381">
        <f t="shared" ref="F510:P510" si="346">E510</f>
        <v>1.1000000000000001</v>
      </c>
      <c r="G510" s="381">
        <f t="shared" si="346"/>
        <v>1.1000000000000001</v>
      </c>
      <c r="H510" s="381">
        <f t="shared" si="346"/>
        <v>1.1000000000000001</v>
      </c>
      <c r="I510" s="381">
        <f t="shared" si="346"/>
        <v>1.1000000000000001</v>
      </c>
      <c r="J510" s="381">
        <f t="shared" si="346"/>
        <v>1.1000000000000001</v>
      </c>
      <c r="K510" s="381">
        <f t="shared" si="346"/>
        <v>1.1000000000000001</v>
      </c>
      <c r="L510" s="381">
        <f t="shared" si="346"/>
        <v>1.1000000000000001</v>
      </c>
      <c r="M510" s="381">
        <f t="shared" si="346"/>
        <v>1.1000000000000001</v>
      </c>
      <c r="N510" s="381">
        <f t="shared" si="346"/>
        <v>1.1000000000000001</v>
      </c>
      <c r="O510" s="381">
        <f t="shared" si="346"/>
        <v>1.1000000000000001</v>
      </c>
      <c r="P510" s="381">
        <f t="shared" si="346"/>
        <v>1.1000000000000001</v>
      </c>
    </row>
    <row r="511" spans="1:16" x14ac:dyDescent="0.2">
      <c r="A511" s="381" t="s">
        <v>44</v>
      </c>
      <c r="B511" s="381"/>
      <c r="C511" s="381"/>
      <c r="D511" s="384" t="s">
        <v>45</v>
      </c>
      <c r="E511" s="381">
        <f>Допускания!C39</f>
        <v>52</v>
      </c>
      <c r="F511" s="381">
        <f t="shared" ref="F511:P511" si="347">+E511</f>
        <v>52</v>
      </c>
      <c r="G511" s="381">
        <f t="shared" si="347"/>
        <v>52</v>
      </c>
      <c r="H511" s="381">
        <f t="shared" si="347"/>
        <v>52</v>
      </c>
      <c r="I511" s="381">
        <f t="shared" si="347"/>
        <v>52</v>
      </c>
      <c r="J511" s="381">
        <f t="shared" si="347"/>
        <v>52</v>
      </c>
      <c r="K511" s="381">
        <f t="shared" si="347"/>
        <v>52</v>
      </c>
      <c r="L511" s="381">
        <f t="shared" si="347"/>
        <v>52</v>
      </c>
      <c r="M511" s="381">
        <f t="shared" si="347"/>
        <v>52</v>
      </c>
      <c r="N511" s="381">
        <f t="shared" si="347"/>
        <v>52</v>
      </c>
      <c r="O511" s="381">
        <f t="shared" si="347"/>
        <v>52</v>
      </c>
      <c r="P511" s="381">
        <f t="shared" si="347"/>
        <v>52</v>
      </c>
    </row>
    <row r="512" spans="1:16" x14ac:dyDescent="0.2">
      <c r="A512" s="381" t="s">
        <v>46</v>
      </c>
      <c r="B512" s="381"/>
      <c r="C512" s="381"/>
      <c r="D512" s="384" t="s">
        <v>19</v>
      </c>
      <c r="E512" s="394">
        <f>E425</f>
        <v>0.9</v>
      </c>
      <c r="F512" s="394">
        <f t="shared" ref="F512:P512" si="348">+E512</f>
        <v>0.9</v>
      </c>
      <c r="G512" s="394">
        <f t="shared" si="348"/>
        <v>0.9</v>
      </c>
      <c r="H512" s="394">
        <f t="shared" si="348"/>
        <v>0.9</v>
      </c>
      <c r="I512" s="394">
        <f t="shared" si="348"/>
        <v>0.9</v>
      </c>
      <c r="J512" s="394">
        <f t="shared" si="348"/>
        <v>0.9</v>
      </c>
      <c r="K512" s="394">
        <f t="shared" si="348"/>
        <v>0.9</v>
      </c>
      <c r="L512" s="394">
        <f t="shared" si="348"/>
        <v>0.9</v>
      </c>
      <c r="M512" s="394">
        <f t="shared" si="348"/>
        <v>0.9</v>
      </c>
      <c r="N512" s="394">
        <f t="shared" si="348"/>
        <v>0.9</v>
      </c>
      <c r="O512" s="394">
        <f t="shared" si="348"/>
        <v>0.9</v>
      </c>
      <c r="P512" s="394">
        <f t="shared" si="348"/>
        <v>0.9</v>
      </c>
    </row>
    <row r="513" spans="1:16" x14ac:dyDescent="0.2">
      <c r="A513" s="403" t="s">
        <v>192</v>
      </c>
      <c r="B513" s="381"/>
      <c r="C513" s="381"/>
      <c r="D513" s="384"/>
      <c r="E513" s="381">
        <v>1.5</v>
      </c>
      <c r="F513" s="381">
        <f t="shared" ref="F513:P513" si="349">E513</f>
        <v>1.5</v>
      </c>
      <c r="G513" s="381">
        <f t="shared" si="349"/>
        <v>1.5</v>
      </c>
      <c r="H513" s="381">
        <f t="shared" si="349"/>
        <v>1.5</v>
      </c>
      <c r="I513" s="381">
        <f t="shared" si="349"/>
        <v>1.5</v>
      </c>
      <c r="J513" s="381">
        <f t="shared" si="349"/>
        <v>1.5</v>
      </c>
      <c r="K513" s="381">
        <f t="shared" si="349"/>
        <v>1.5</v>
      </c>
      <c r="L513" s="381">
        <f t="shared" si="349"/>
        <v>1.5</v>
      </c>
      <c r="M513" s="381">
        <f t="shared" si="349"/>
        <v>1.5</v>
      </c>
      <c r="N513" s="381">
        <f t="shared" si="349"/>
        <v>1.5</v>
      </c>
      <c r="O513" s="381">
        <f t="shared" si="349"/>
        <v>1.5</v>
      </c>
      <c r="P513" s="381">
        <f t="shared" si="349"/>
        <v>1.5</v>
      </c>
    </row>
    <row r="514" spans="1:16" x14ac:dyDescent="0.2">
      <c r="A514" s="381" t="s">
        <v>48</v>
      </c>
      <c r="B514" s="381"/>
      <c r="C514" s="381"/>
      <c r="D514" s="384" t="s">
        <v>49</v>
      </c>
      <c r="E514" s="381">
        <f t="shared" ref="E514:P514" si="350">IF(E490=0,0,ROUNDUP((E509/E512/E510)*E513/E511,))</f>
        <v>0</v>
      </c>
      <c r="F514" s="381">
        <f t="shared" si="350"/>
        <v>318</v>
      </c>
      <c r="G514" s="381">
        <f t="shared" si="350"/>
        <v>318</v>
      </c>
      <c r="H514" s="381">
        <f t="shared" si="350"/>
        <v>318</v>
      </c>
      <c r="I514" s="381">
        <f t="shared" si="350"/>
        <v>318</v>
      </c>
      <c r="J514" s="381">
        <f t="shared" si="350"/>
        <v>318</v>
      </c>
      <c r="K514" s="381">
        <f t="shared" si="350"/>
        <v>318</v>
      </c>
      <c r="L514" s="381">
        <f t="shared" si="350"/>
        <v>318</v>
      </c>
      <c r="M514" s="381">
        <f t="shared" si="350"/>
        <v>318</v>
      </c>
      <c r="N514" s="381">
        <f t="shared" si="350"/>
        <v>318</v>
      </c>
      <c r="O514" s="381">
        <f t="shared" si="350"/>
        <v>318</v>
      </c>
      <c r="P514" s="381">
        <f t="shared" si="350"/>
        <v>318</v>
      </c>
    </row>
    <row r="515" spans="1:16" ht="15" x14ac:dyDescent="0.2">
      <c r="A515" s="381" t="s">
        <v>145</v>
      </c>
      <c r="B515" s="395"/>
      <c r="C515" s="395"/>
      <c r="D515" s="384" t="s">
        <v>203</v>
      </c>
      <c r="E515" s="396">
        <f t="shared" ref="E515:P515" si="351">IF(E514=0,0,E509/E514/E511)</f>
        <v>0</v>
      </c>
      <c r="F515" s="396">
        <f t="shared" si="351"/>
        <v>0.65987933634992446</v>
      </c>
      <c r="G515" s="396">
        <f t="shared" si="351"/>
        <v>0.65987933634992446</v>
      </c>
      <c r="H515" s="396">
        <f t="shared" si="351"/>
        <v>0.65987933634992446</v>
      </c>
      <c r="I515" s="396">
        <f t="shared" si="351"/>
        <v>0.65987933634992446</v>
      </c>
      <c r="J515" s="396">
        <f t="shared" si="351"/>
        <v>0.65987933634992446</v>
      </c>
      <c r="K515" s="396">
        <f t="shared" si="351"/>
        <v>0.65987933634992446</v>
      </c>
      <c r="L515" s="396">
        <f t="shared" si="351"/>
        <v>0.65987933634992446</v>
      </c>
      <c r="M515" s="396">
        <f t="shared" si="351"/>
        <v>0.65987933634992446</v>
      </c>
      <c r="N515" s="396">
        <f t="shared" si="351"/>
        <v>0.65987933634992446</v>
      </c>
      <c r="O515" s="396">
        <f t="shared" si="351"/>
        <v>0.65987933634992446</v>
      </c>
      <c r="P515" s="396">
        <f t="shared" si="351"/>
        <v>0.65987933634992446</v>
      </c>
    </row>
    <row r="516" spans="1:16" x14ac:dyDescent="0.2">
      <c r="A516" s="381" t="s">
        <v>146</v>
      </c>
      <c r="B516" s="395"/>
      <c r="C516" s="395"/>
      <c r="D516" s="384" t="s">
        <v>43</v>
      </c>
      <c r="E516" s="397">
        <f t="shared" ref="E516:P516" si="352">+E515*E508</f>
        <v>0</v>
      </c>
      <c r="F516" s="397">
        <f t="shared" si="352"/>
        <v>0.11217948717948717</v>
      </c>
      <c r="G516" s="397">
        <f t="shared" si="352"/>
        <v>0.11217948717948717</v>
      </c>
      <c r="H516" s="397">
        <f t="shared" si="352"/>
        <v>0.11217948717948717</v>
      </c>
      <c r="I516" s="397">
        <f t="shared" si="352"/>
        <v>0.11217948717948717</v>
      </c>
      <c r="J516" s="397">
        <f t="shared" si="352"/>
        <v>0.11217948717948717</v>
      </c>
      <c r="K516" s="397">
        <f t="shared" si="352"/>
        <v>0.11217948717948717</v>
      </c>
      <c r="L516" s="397">
        <f t="shared" si="352"/>
        <v>0.11217948717948717</v>
      </c>
      <c r="M516" s="397">
        <f t="shared" si="352"/>
        <v>0.11217948717948717</v>
      </c>
      <c r="N516" s="397">
        <f t="shared" si="352"/>
        <v>0.11217948717948717</v>
      </c>
      <c r="O516" s="397">
        <f t="shared" si="352"/>
        <v>0.11217948717948717</v>
      </c>
      <c r="P516" s="397">
        <f t="shared" si="352"/>
        <v>0.11217948717948717</v>
      </c>
    </row>
    <row r="517" spans="1:16" x14ac:dyDescent="0.2">
      <c r="A517" s="381"/>
      <c r="B517" s="381"/>
      <c r="C517" s="381"/>
      <c r="D517" s="384"/>
      <c r="E517" s="398"/>
      <c r="F517" s="398"/>
      <c r="G517" s="398"/>
      <c r="H517" s="398"/>
      <c r="I517" s="398"/>
      <c r="J517" s="398"/>
      <c r="K517" s="398"/>
      <c r="L517" s="398"/>
      <c r="M517" s="398"/>
      <c r="N517" s="398"/>
      <c r="O517" s="398"/>
      <c r="P517" s="398"/>
    </row>
    <row r="518" spans="1:16" x14ac:dyDescent="0.2">
      <c r="A518" s="386" t="s">
        <v>48</v>
      </c>
      <c r="B518" s="381"/>
      <c r="C518" s="381"/>
      <c r="D518" s="384"/>
      <c r="E518" s="392">
        <f t="shared" ref="E518:P518" si="353">+E514*(1+E519)</f>
        <v>0</v>
      </c>
      <c r="F518" s="392">
        <f t="shared" si="353"/>
        <v>333.90000000000003</v>
      </c>
      <c r="G518" s="392">
        <f t="shared" si="353"/>
        <v>333.90000000000003</v>
      </c>
      <c r="H518" s="392">
        <f t="shared" si="353"/>
        <v>333.90000000000003</v>
      </c>
      <c r="I518" s="392">
        <f t="shared" si="353"/>
        <v>333.90000000000003</v>
      </c>
      <c r="J518" s="392">
        <f t="shared" si="353"/>
        <v>333.90000000000003</v>
      </c>
      <c r="K518" s="392">
        <f t="shared" si="353"/>
        <v>333.90000000000003</v>
      </c>
      <c r="L518" s="392">
        <f t="shared" si="353"/>
        <v>333.90000000000003</v>
      </c>
      <c r="M518" s="392">
        <f t="shared" si="353"/>
        <v>333.90000000000003</v>
      </c>
      <c r="N518" s="392">
        <f t="shared" si="353"/>
        <v>333.90000000000003</v>
      </c>
      <c r="O518" s="392">
        <f t="shared" si="353"/>
        <v>333.90000000000003</v>
      </c>
      <c r="P518" s="392">
        <f t="shared" si="353"/>
        <v>333.90000000000003</v>
      </c>
    </row>
    <row r="519" spans="1:16" x14ac:dyDescent="0.2">
      <c r="A519" s="381" t="s">
        <v>50</v>
      </c>
      <c r="B519" s="381"/>
      <c r="C519" s="381"/>
      <c r="D519" s="384"/>
      <c r="E519" s="399">
        <f>E433</f>
        <v>0.05</v>
      </c>
      <c r="F519" s="399">
        <f t="shared" ref="F519:P519" si="354">E519</f>
        <v>0.05</v>
      </c>
      <c r="G519" s="399">
        <f t="shared" si="354"/>
        <v>0.05</v>
      </c>
      <c r="H519" s="399">
        <f t="shared" si="354"/>
        <v>0.05</v>
      </c>
      <c r="I519" s="399">
        <f t="shared" si="354"/>
        <v>0.05</v>
      </c>
      <c r="J519" s="399">
        <f t="shared" si="354"/>
        <v>0.05</v>
      </c>
      <c r="K519" s="399">
        <f t="shared" si="354"/>
        <v>0.05</v>
      </c>
      <c r="L519" s="399">
        <f t="shared" si="354"/>
        <v>0.05</v>
      </c>
      <c r="M519" s="399">
        <f t="shared" si="354"/>
        <v>0.05</v>
      </c>
      <c r="N519" s="399">
        <f t="shared" si="354"/>
        <v>0.05</v>
      </c>
      <c r="O519" s="399">
        <f t="shared" si="354"/>
        <v>0.05</v>
      </c>
      <c r="P519" s="399">
        <f t="shared" si="354"/>
        <v>0.05</v>
      </c>
    </row>
    <row r="520" spans="1:16" x14ac:dyDescent="0.2">
      <c r="A520" s="381" t="s">
        <v>51</v>
      </c>
      <c r="B520" s="381"/>
      <c r="C520" s="381"/>
      <c r="D520" s="384"/>
      <c r="E520" s="392">
        <f t="shared" ref="E520:P520" si="355">+E518</f>
        <v>0</v>
      </c>
      <c r="F520" s="392">
        <f t="shared" si="355"/>
        <v>333.90000000000003</v>
      </c>
      <c r="G520" s="392">
        <f t="shared" si="355"/>
        <v>333.90000000000003</v>
      </c>
      <c r="H520" s="392">
        <f t="shared" si="355"/>
        <v>333.90000000000003</v>
      </c>
      <c r="I520" s="392">
        <f t="shared" si="355"/>
        <v>333.90000000000003</v>
      </c>
      <c r="J520" s="392">
        <f t="shared" si="355"/>
        <v>333.90000000000003</v>
      </c>
      <c r="K520" s="392">
        <f t="shared" si="355"/>
        <v>333.90000000000003</v>
      </c>
      <c r="L520" s="392">
        <f t="shared" si="355"/>
        <v>333.90000000000003</v>
      </c>
      <c r="M520" s="392">
        <f t="shared" si="355"/>
        <v>333.90000000000003</v>
      </c>
      <c r="N520" s="392">
        <f t="shared" si="355"/>
        <v>333.90000000000003</v>
      </c>
      <c r="O520" s="392">
        <f t="shared" si="355"/>
        <v>333.90000000000003</v>
      </c>
      <c r="P520" s="392">
        <f t="shared" si="355"/>
        <v>333.90000000000003</v>
      </c>
    </row>
    <row r="521" spans="1:16" x14ac:dyDescent="0.2">
      <c r="A521" s="381"/>
      <c r="B521" s="381"/>
      <c r="C521" s="381"/>
      <c r="D521" s="384"/>
      <c r="E521" s="389"/>
      <c r="F521" s="389"/>
      <c r="G521" s="389"/>
      <c r="H521" s="389"/>
      <c r="I521" s="389"/>
      <c r="J521" s="389"/>
      <c r="K521" s="389"/>
      <c r="L521" s="389"/>
      <c r="M521" s="389"/>
      <c r="N521" s="389"/>
      <c r="O521" s="389"/>
      <c r="P521" s="389"/>
    </row>
    <row r="522" spans="1:16" x14ac:dyDescent="0.2">
      <c r="A522" s="400" t="s">
        <v>193</v>
      </c>
      <c r="B522" s="381"/>
      <c r="C522" s="381"/>
      <c r="D522" s="384"/>
      <c r="E522" s="401"/>
      <c r="F522" s="401"/>
      <c r="G522" s="401"/>
      <c r="H522" s="401"/>
      <c r="I522" s="401"/>
      <c r="J522" s="401"/>
      <c r="K522" s="401"/>
      <c r="L522" s="401"/>
      <c r="M522" s="401"/>
      <c r="N522" s="401"/>
      <c r="O522" s="401"/>
      <c r="P522" s="401"/>
    </row>
    <row r="523" spans="1:16" x14ac:dyDescent="0.2">
      <c r="A523" s="381" t="s">
        <v>54</v>
      </c>
      <c r="B523" s="381"/>
      <c r="C523" s="381"/>
      <c r="D523" s="384" t="s">
        <v>22</v>
      </c>
      <c r="E523" s="401">
        <f>Допускания!$C$47*0.35</f>
        <v>3.5</v>
      </c>
      <c r="F523" s="401">
        <f>Допускания!$C$47*0.35</f>
        <v>3.5</v>
      </c>
      <c r="G523" s="401">
        <f>Допускания!$C$47*0.35</f>
        <v>3.5</v>
      </c>
      <c r="H523" s="401">
        <f>Допускания!$C$47*0.35</f>
        <v>3.5</v>
      </c>
      <c r="I523" s="401">
        <f>Допускания!$C$47*0.35</f>
        <v>3.5</v>
      </c>
      <c r="J523" s="401">
        <f>Допускания!$C$47*0.35</f>
        <v>3.5</v>
      </c>
      <c r="K523" s="401">
        <f>Допускания!$C$47*0.35</f>
        <v>3.5</v>
      </c>
      <c r="L523" s="401">
        <f>Допускания!$C$47*0.35</f>
        <v>3.5</v>
      </c>
      <c r="M523" s="401">
        <f>Допускания!$C$47*0.35</f>
        <v>3.5</v>
      </c>
      <c r="N523" s="401">
        <f>Допускания!$C$47*0.35</f>
        <v>3.5</v>
      </c>
      <c r="O523" s="401">
        <f>Допускания!$C$47*0.35</f>
        <v>3.5</v>
      </c>
      <c r="P523" s="401">
        <f>Допускания!$C$47*0.35</f>
        <v>3.5</v>
      </c>
    </row>
    <row r="524" spans="1:16" x14ac:dyDescent="0.2">
      <c r="A524" s="381" t="s">
        <v>55</v>
      </c>
      <c r="B524" s="381"/>
      <c r="C524" s="381"/>
      <c r="D524" s="384" t="s">
        <v>56</v>
      </c>
      <c r="E524" s="394">
        <f>E362</f>
        <v>0.85</v>
      </c>
      <c r="F524" s="394">
        <f t="shared" ref="F524:P524" si="356">+E524</f>
        <v>0.85</v>
      </c>
      <c r="G524" s="394">
        <f t="shared" si="356"/>
        <v>0.85</v>
      </c>
      <c r="H524" s="394">
        <f t="shared" si="356"/>
        <v>0.85</v>
      </c>
      <c r="I524" s="394">
        <f t="shared" si="356"/>
        <v>0.85</v>
      </c>
      <c r="J524" s="394">
        <f t="shared" si="356"/>
        <v>0.85</v>
      </c>
      <c r="K524" s="394">
        <f t="shared" si="356"/>
        <v>0.85</v>
      </c>
      <c r="L524" s="394">
        <f t="shared" si="356"/>
        <v>0.85</v>
      </c>
      <c r="M524" s="394">
        <f t="shared" si="356"/>
        <v>0.85</v>
      </c>
      <c r="N524" s="394">
        <f t="shared" si="356"/>
        <v>0.85</v>
      </c>
      <c r="O524" s="394">
        <f t="shared" si="356"/>
        <v>0.85</v>
      </c>
      <c r="P524" s="394">
        <f t="shared" si="356"/>
        <v>0.85</v>
      </c>
    </row>
    <row r="525" spans="1:16" x14ac:dyDescent="0.2">
      <c r="A525" s="381" t="s">
        <v>57</v>
      </c>
      <c r="B525" s="381"/>
      <c r="C525" s="381"/>
      <c r="D525" s="384" t="s">
        <v>22</v>
      </c>
      <c r="E525" s="401">
        <f t="shared" ref="E525:P525" si="357">+E523*E524</f>
        <v>2.9750000000000001</v>
      </c>
      <c r="F525" s="401">
        <f t="shared" si="357"/>
        <v>2.9750000000000001</v>
      </c>
      <c r="G525" s="401">
        <f t="shared" si="357"/>
        <v>2.9750000000000001</v>
      </c>
      <c r="H525" s="401">
        <f t="shared" si="357"/>
        <v>2.9750000000000001</v>
      </c>
      <c r="I525" s="401">
        <f t="shared" si="357"/>
        <v>2.9750000000000001</v>
      </c>
      <c r="J525" s="401">
        <f t="shared" si="357"/>
        <v>2.9750000000000001</v>
      </c>
      <c r="K525" s="401">
        <f t="shared" si="357"/>
        <v>2.9750000000000001</v>
      </c>
      <c r="L525" s="401">
        <f t="shared" si="357"/>
        <v>2.9750000000000001</v>
      </c>
      <c r="M525" s="401">
        <f t="shared" si="357"/>
        <v>2.9750000000000001</v>
      </c>
      <c r="N525" s="401">
        <f t="shared" si="357"/>
        <v>2.9750000000000001</v>
      </c>
      <c r="O525" s="401">
        <f t="shared" si="357"/>
        <v>2.9750000000000001</v>
      </c>
      <c r="P525" s="401">
        <f t="shared" si="357"/>
        <v>2.9750000000000001</v>
      </c>
    </row>
    <row r="526" spans="1:16" x14ac:dyDescent="0.2">
      <c r="A526" s="381" t="s">
        <v>58</v>
      </c>
      <c r="B526" s="381"/>
      <c r="C526" s="381"/>
      <c r="D526" s="384"/>
      <c r="E526" s="394">
        <f>E364</f>
        <v>0.85</v>
      </c>
      <c r="F526" s="394">
        <f t="shared" ref="F526:P526" si="358">+E526</f>
        <v>0.85</v>
      </c>
      <c r="G526" s="394">
        <f t="shared" si="358"/>
        <v>0.85</v>
      </c>
      <c r="H526" s="394">
        <f t="shared" si="358"/>
        <v>0.85</v>
      </c>
      <c r="I526" s="394">
        <f t="shared" si="358"/>
        <v>0.85</v>
      </c>
      <c r="J526" s="394">
        <f t="shared" si="358"/>
        <v>0.85</v>
      </c>
      <c r="K526" s="394">
        <f t="shared" si="358"/>
        <v>0.85</v>
      </c>
      <c r="L526" s="394">
        <f t="shared" si="358"/>
        <v>0.85</v>
      </c>
      <c r="M526" s="394">
        <f t="shared" si="358"/>
        <v>0.85</v>
      </c>
      <c r="N526" s="394">
        <f t="shared" si="358"/>
        <v>0.85</v>
      </c>
      <c r="O526" s="394">
        <f t="shared" si="358"/>
        <v>0.85</v>
      </c>
      <c r="P526" s="394">
        <f t="shared" si="358"/>
        <v>0.85</v>
      </c>
    </row>
    <row r="527" spans="1:16" x14ac:dyDescent="0.2">
      <c r="A527" s="381"/>
      <c r="B527" s="381"/>
      <c r="C527" s="381"/>
      <c r="D527" s="384"/>
      <c r="E527" s="394"/>
      <c r="F527" s="394"/>
      <c r="G527" s="394"/>
      <c r="H527" s="394"/>
      <c r="I527" s="394"/>
      <c r="J527" s="394"/>
      <c r="K527" s="394"/>
      <c r="L527" s="394"/>
      <c r="M527" s="394"/>
      <c r="N527" s="394"/>
      <c r="O527" s="394"/>
      <c r="P527" s="394"/>
    </row>
    <row r="528" spans="1:16" x14ac:dyDescent="0.2">
      <c r="A528" s="386" t="s">
        <v>59</v>
      </c>
      <c r="B528" s="381"/>
      <c r="C528" s="381"/>
      <c r="D528" s="384"/>
      <c r="E528" s="394"/>
      <c r="F528" s="394"/>
      <c r="G528" s="394"/>
      <c r="H528" s="394"/>
      <c r="I528" s="394"/>
      <c r="J528" s="394"/>
      <c r="K528" s="394"/>
      <c r="L528" s="394"/>
      <c r="M528" s="394"/>
      <c r="N528" s="394"/>
      <c r="O528" s="394"/>
      <c r="P528" s="394"/>
    </row>
    <row r="529" spans="1:16" x14ac:dyDescent="0.2">
      <c r="A529" s="381" t="s">
        <v>60</v>
      </c>
      <c r="B529" s="381"/>
      <c r="C529" s="381"/>
      <c r="D529" s="384" t="s">
        <v>61</v>
      </c>
      <c r="E529" s="392">
        <f>Допускания!C12</f>
        <v>10</v>
      </c>
      <c r="F529" s="392">
        <f t="shared" ref="F529:P529" si="359">+E529</f>
        <v>10</v>
      </c>
      <c r="G529" s="392">
        <f t="shared" si="359"/>
        <v>10</v>
      </c>
      <c r="H529" s="392">
        <f t="shared" si="359"/>
        <v>10</v>
      </c>
      <c r="I529" s="392">
        <f t="shared" si="359"/>
        <v>10</v>
      </c>
      <c r="J529" s="392">
        <f t="shared" si="359"/>
        <v>10</v>
      </c>
      <c r="K529" s="392">
        <f t="shared" si="359"/>
        <v>10</v>
      </c>
      <c r="L529" s="392">
        <f t="shared" si="359"/>
        <v>10</v>
      </c>
      <c r="M529" s="392">
        <f t="shared" si="359"/>
        <v>10</v>
      </c>
      <c r="N529" s="392">
        <f t="shared" si="359"/>
        <v>10</v>
      </c>
      <c r="O529" s="392">
        <f t="shared" si="359"/>
        <v>10</v>
      </c>
      <c r="P529" s="392">
        <f t="shared" si="359"/>
        <v>10</v>
      </c>
    </row>
    <row r="530" spans="1:16" x14ac:dyDescent="0.2">
      <c r="A530" s="381" t="s">
        <v>62</v>
      </c>
      <c r="B530" s="381"/>
      <c r="C530" s="381"/>
      <c r="D530" s="384" t="s">
        <v>63</v>
      </c>
      <c r="E530" s="392">
        <f>E444</f>
        <v>30</v>
      </c>
      <c r="F530" s="392">
        <f t="shared" ref="F530:P530" si="360">E530</f>
        <v>30</v>
      </c>
      <c r="G530" s="392">
        <f t="shared" si="360"/>
        <v>30</v>
      </c>
      <c r="H530" s="392">
        <f t="shared" si="360"/>
        <v>30</v>
      </c>
      <c r="I530" s="392">
        <f t="shared" si="360"/>
        <v>30</v>
      </c>
      <c r="J530" s="392">
        <f t="shared" si="360"/>
        <v>30</v>
      </c>
      <c r="K530" s="392">
        <f t="shared" si="360"/>
        <v>30</v>
      </c>
      <c r="L530" s="392">
        <f t="shared" si="360"/>
        <v>30</v>
      </c>
      <c r="M530" s="392">
        <f t="shared" si="360"/>
        <v>30</v>
      </c>
      <c r="N530" s="392">
        <f t="shared" si="360"/>
        <v>30</v>
      </c>
      <c r="O530" s="392">
        <f t="shared" si="360"/>
        <v>30</v>
      </c>
      <c r="P530" s="392">
        <f t="shared" si="360"/>
        <v>30</v>
      </c>
    </row>
    <row r="531" spans="1:16" x14ac:dyDescent="0.2">
      <c r="A531" s="381" t="s">
        <v>64</v>
      </c>
      <c r="B531" s="381"/>
      <c r="C531" s="381"/>
      <c r="D531" s="384" t="s">
        <v>30</v>
      </c>
      <c r="E531" s="402">
        <f t="shared" ref="E531:P531" si="361">+E529*2/E530</f>
        <v>0.66666666666666663</v>
      </c>
      <c r="F531" s="402">
        <f t="shared" si="361"/>
        <v>0.66666666666666663</v>
      </c>
      <c r="G531" s="402">
        <f t="shared" si="361"/>
        <v>0.66666666666666663</v>
      </c>
      <c r="H531" s="402">
        <f t="shared" si="361"/>
        <v>0.66666666666666663</v>
      </c>
      <c r="I531" s="402">
        <f t="shared" si="361"/>
        <v>0.66666666666666663</v>
      </c>
      <c r="J531" s="402">
        <f t="shared" si="361"/>
        <v>0.66666666666666663</v>
      </c>
      <c r="K531" s="402">
        <f t="shared" si="361"/>
        <v>0.66666666666666663</v>
      </c>
      <c r="L531" s="402">
        <f t="shared" si="361"/>
        <v>0.66666666666666663</v>
      </c>
      <c r="M531" s="402">
        <f t="shared" si="361"/>
        <v>0.66666666666666663</v>
      </c>
      <c r="N531" s="402">
        <f t="shared" si="361"/>
        <v>0.66666666666666663</v>
      </c>
      <c r="O531" s="402">
        <f t="shared" si="361"/>
        <v>0.66666666666666663</v>
      </c>
      <c r="P531" s="402">
        <f t="shared" si="361"/>
        <v>0.66666666666666663</v>
      </c>
    </row>
    <row r="532" spans="1:16" s="1" customFormat="1" x14ac:dyDescent="0.2">
      <c r="A532" s="403" t="s">
        <v>65</v>
      </c>
      <c r="B532" s="403"/>
      <c r="C532" s="403"/>
      <c r="D532" s="384" t="s">
        <v>30</v>
      </c>
      <c r="E532" s="404">
        <f>E446</f>
        <v>0.5</v>
      </c>
      <c r="F532" s="404">
        <f t="shared" ref="F532:P532" si="362">E532</f>
        <v>0.5</v>
      </c>
      <c r="G532" s="404">
        <f t="shared" si="362"/>
        <v>0.5</v>
      </c>
      <c r="H532" s="404">
        <f t="shared" si="362"/>
        <v>0.5</v>
      </c>
      <c r="I532" s="404">
        <f t="shared" si="362"/>
        <v>0.5</v>
      </c>
      <c r="J532" s="404">
        <f t="shared" si="362"/>
        <v>0.5</v>
      </c>
      <c r="K532" s="404">
        <f t="shared" si="362"/>
        <v>0.5</v>
      </c>
      <c r="L532" s="404">
        <f t="shared" si="362"/>
        <v>0.5</v>
      </c>
      <c r="M532" s="404">
        <f t="shared" si="362"/>
        <v>0.5</v>
      </c>
      <c r="N532" s="404">
        <f t="shared" si="362"/>
        <v>0.5</v>
      </c>
      <c r="O532" s="404">
        <f t="shared" si="362"/>
        <v>0.5</v>
      </c>
      <c r="P532" s="404">
        <f t="shared" si="362"/>
        <v>0.5</v>
      </c>
    </row>
    <row r="533" spans="1:16" x14ac:dyDescent="0.2">
      <c r="A533" s="381" t="s">
        <v>66</v>
      </c>
      <c r="B533" s="381"/>
      <c r="C533" s="381"/>
      <c r="D533" s="384" t="s">
        <v>30</v>
      </c>
      <c r="E533" s="402">
        <f t="shared" ref="E533:P533" si="363">+E532+E531</f>
        <v>1.1666666666666665</v>
      </c>
      <c r="F533" s="402">
        <f t="shared" si="363"/>
        <v>1.1666666666666665</v>
      </c>
      <c r="G533" s="402">
        <f t="shared" si="363"/>
        <v>1.1666666666666665</v>
      </c>
      <c r="H533" s="402">
        <f t="shared" si="363"/>
        <v>1.1666666666666665</v>
      </c>
      <c r="I533" s="402">
        <f t="shared" si="363"/>
        <v>1.1666666666666665</v>
      </c>
      <c r="J533" s="402">
        <f t="shared" si="363"/>
        <v>1.1666666666666665</v>
      </c>
      <c r="K533" s="402">
        <f t="shared" si="363"/>
        <v>1.1666666666666665</v>
      </c>
      <c r="L533" s="402">
        <f t="shared" si="363"/>
        <v>1.1666666666666665</v>
      </c>
      <c r="M533" s="402">
        <f t="shared" si="363"/>
        <v>1.1666666666666665</v>
      </c>
      <c r="N533" s="402">
        <f t="shared" si="363"/>
        <v>1.1666666666666665</v>
      </c>
      <c r="O533" s="402">
        <f t="shared" si="363"/>
        <v>1.1666666666666665</v>
      </c>
      <c r="P533" s="402">
        <f t="shared" si="363"/>
        <v>1.1666666666666665</v>
      </c>
    </row>
    <row r="534" spans="1:16" x14ac:dyDescent="0.2">
      <c r="A534" s="381" t="s">
        <v>67</v>
      </c>
      <c r="B534" s="381"/>
      <c r="C534" s="381"/>
      <c r="D534" s="384" t="s">
        <v>68</v>
      </c>
      <c r="E534" s="401">
        <f>Допускания!C59</f>
        <v>2</v>
      </c>
      <c r="F534" s="402">
        <f t="shared" ref="F534:P534" si="364">+E534</f>
        <v>2</v>
      </c>
      <c r="G534" s="402">
        <f t="shared" si="364"/>
        <v>2</v>
      </c>
      <c r="H534" s="402">
        <f t="shared" si="364"/>
        <v>2</v>
      </c>
      <c r="I534" s="402">
        <f t="shared" si="364"/>
        <v>2</v>
      </c>
      <c r="J534" s="402">
        <f t="shared" si="364"/>
        <v>2</v>
      </c>
      <c r="K534" s="402">
        <f t="shared" si="364"/>
        <v>2</v>
      </c>
      <c r="L534" s="402">
        <f t="shared" si="364"/>
        <v>2</v>
      </c>
      <c r="M534" s="402">
        <f t="shared" si="364"/>
        <v>2</v>
      </c>
      <c r="N534" s="402">
        <f t="shared" si="364"/>
        <v>2</v>
      </c>
      <c r="O534" s="402">
        <f t="shared" si="364"/>
        <v>2</v>
      </c>
      <c r="P534" s="402">
        <f t="shared" si="364"/>
        <v>2</v>
      </c>
    </row>
    <row r="535" spans="1:16" x14ac:dyDescent="0.2">
      <c r="A535" s="381" t="s">
        <v>146</v>
      </c>
      <c r="B535" s="381"/>
      <c r="C535" s="381"/>
      <c r="D535" s="384" t="s">
        <v>43</v>
      </c>
      <c r="E535" s="405">
        <f t="shared" ref="E535:P535" si="365">+E516</f>
        <v>0</v>
      </c>
      <c r="F535" s="405">
        <f t="shared" si="365"/>
        <v>0.11217948717948717</v>
      </c>
      <c r="G535" s="405">
        <f t="shared" si="365"/>
        <v>0.11217948717948717</v>
      </c>
      <c r="H535" s="405">
        <f t="shared" si="365"/>
        <v>0.11217948717948717</v>
      </c>
      <c r="I535" s="405">
        <f t="shared" si="365"/>
        <v>0.11217948717948717</v>
      </c>
      <c r="J535" s="405">
        <f t="shared" si="365"/>
        <v>0.11217948717948717</v>
      </c>
      <c r="K535" s="405">
        <f t="shared" si="365"/>
        <v>0.11217948717948717</v>
      </c>
      <c r="L535" s="405">
        <f t="shared" si="365"/>
        <v>0.11217948717948717</v>
      </c>
      <c r="M535" s="405">
        <f t="shared" si="365"/>
        <v>0.11217948717948717</v>
      </c>
      <c r="N535" s="405">
        <f t="shared" si="365"/>
        <v>0.11217948717948717</v>
      </c>
      <c r="O535" s="405">
        <f t="shared" si="365"/>
        <v>0.11217948717948717</v>
      </c>
      <c r="P535" s="405">
        <f t="shared" si="365"/>
        <v>0.11217948717948717</v>
      </c>
    </row>
    <row r="536" spans="1:16" x14ac:dyDescent="0.2">
      <c r="A536" s="381" t="s">
        <v>69</v>
      </c>
      <c r="B536" s="381"/>
      <c r="C536" s="381"/>
      <c r="D536" s="384" t="s">
        <v>70</v>
      </c>
      <c r="E536" s="402">
        <f t="shared" ref="E536:P536" si="366">+E535*60/E534</f>
        <v>0</v>
      </c>
      <c r="F536" s="402">
        <f t="shared" si="366"/>
        <v>3.365384615384615</v>
      </c>
      <c r="G536" s="402">
        <f t="shared" si="366"/>
        <v>3.365384615384615</v>
      </c>
      <c r="H536" s="402">
        <f t="shared" si="366"/>
        <v>3.365384615384615</v>
      </c>
      <c r="I536" s="402">
        <f t="shared" si="366"/>
        <v>3.365384615384615</v>
      </c>
      <c r="J536" s="402">
        <f t="shared" si="366"/>
        <v>3.365384615384615</v>
      </c>
      <c r="K536" s="402">
        <f t="shared" si="366"/>
        <v>3.365384615384615</v>
      </c>
      <c r="L536" s="402">
        <f t="shared" si="366"/>
        <v>3.365384615384615</v>
      </c>
      <c r="M536" s="402">
        <f t="shared" si="366"/>
        <v>3.365384615384615</v>
      </c>
      <c r="N536" s="402">
        <f t="shared" si="366"/>
        <v>3.365384615384615</v>
      </c>
      <c r="O536" s="402">
        <f t="shared" si="366"/>
        <v>3.365384615384615</v>
      </c>
      <c r="P536" s="402">
        <f t="shared" si="366"/>
        <v>3.365384615384615</v>
      </c>
    </row>
    <row r="537" spans="1:16" x14ac:dyDescent="0.2">
      <c r="A537" s="381" t="s">
        <v>71</v>
      </c>
      <c r="B537" s="381"/>
      <c r="C537" s="381"/>
      <c r="D537" s="384" t="s">
        <v>30</v>
      </c>
      <c r="E537" s="402">
        <f t="shared" ref="E537:P537" si="367">IF(E536=0,0,IF(E510=1.1,+E525/E536,E534/60))</f>
        <v>0</v>
      </c>
      <c r="F537" s="402">
        <f t="shared" si="367"/>
        <v>0.88400000000000012</v>
      </c>
      <c r="G537" s="402">
        <f t="shared" si="367"/>
        <v>0.88400000000000012</v>
      </c>
      <c r="H537" s="402">
        <f t="shared" si="367"/>
        <v>0.88400000000000012</v>
      </c>
      <c r="I537" s="402">
        <f t="shared" si="367"/>
        <v>0.88400000000000012</v>
      </c>
      <c r="J537" s="402">
        <f t="shared" si="367"/>
        <v>0.88400000000000012</v>
      </c>
      <c r="K537" s="402">
        <f t="shared" si="367"/>
        <v>0.88400000000000012</v>
      </c>
      <c r="L537" s="402">
        <f t="shared" si="367"/>
        <v>0.88400000000000012</v>
      </c>
      <c r="M537" s="402">
        <f t="shared" si="367"/>
        <v>0.88400000000000012</v>
      </c>
      <c r="N537" s="402">
        <f t="shared" si="367"/>
        <v>0.88400000000000012</v>
      </c>
      <c r="O537" s="402">
        <f t="shared" si="367"/>
        <v>0.88400000000000012</v>
      </c>
      <c r="P537" s="402">
        <f t="shared" si="367"/>
        <v>0.88400000000000012</v>
      </c>
    </row>
    <row r="538" spans="1:16" x14ac:dyDescent="0.2">
      <c r="A538" s="381" t="s">
        <v>72</v>
      </c>
      <c r="B538" s="381"/>
      <c r="C538" s="381"/>
      <c r="D538" s="384" t="s">
        <v>30</v>
      </c>
      <c r="E538" s="402">
        <f t="shared" ref="E538:P538" si="368">IF(E535=0,0,IF(E510=1.1,IF(E525/E535*E534/60&gt;E493-E533,E493-E533,E525/E535*E534/60),E534/60))</f>
        <v>0</v>
      </c>
      <c r="F538" s="402">
        <f t="shared" si="368"/>
        <v>0.88400000000000012</v>
      </c>
      <c r="G538" s="402">
        <f t="shared" si="368"/>
        <v>0.88400000000000012</v>
      </c>
      <c r="H538" s="402">
        <f t="shared" si="368"/>
        <v>0.88400000000000012</v>
      </c>
      <c r="I538" s="402">
        <f t="shared" si="368"/>
        <v>0.88400000000000012</v>
      </c>
      <c r="J538" s="402">
        <f t="shared" si="368"/>
        <v>0.88400000000000012</v>
      </c>
      <c r="K538" s="402">
        <f t="shared" si="368"/>
        <v>0.88400000000000012</v>
      </c>
      <c r="L538" s="402">
        <f t="shared" si="368"/>
        <v>0.88400000000000012</v>
      </c>
      <c r="M538" s="402">
        <f t="shared" si="368"/>
        <v>0.88400000000000012</v>
      </c>
      <c r="N538" s="402">
        <f t="shared" si="368"/>
        <v>0.88400000000000012</v>
      </c>
      <c r="O538" s="402">
        <f t="shared" si="368"/>
        <v>0.88400000000000012</v>
      </c>
      <c r="P538" s="402">
        <f t="shared" si="368"/>
        <v>0.88400000000000012</v>
      </c>
    </row>
    <row r="539" spans="1:16" outlineLevel="1" x14ac:dyDescent="0.2">
      <c r="A539" s="381" t="s">
        <v>73</v>
      </c>
      <c r="B539" s="381"/>
      <c r="C539" s="381"/>
      <c r="D539" s="384" t="s">
        <v>30</v>
      </c>
      <c r="E539" s="402">
        <f t="shared" ref="E539:P539" si="369">+E538+E533</f>
        <v>1.1666666666666665</v>
      </c>
      <c r="F539" s="402">
        <f t="shared" si="369"/>
        <v>2.0506666666666664</v>
      </c>
      <c r="G539" s="402">
        <f t="shared" si="369"/>
        <v>2.0506666666666664</v>
      </c>
      <c r="H539" s="402">
        <f t="shared" si="369"/>
        <v>2.0506666666666664</v>
      </c>
      <c r="I539" s="402">
        <f t="shared" si="369"/>
        <v>2.0506666666666664</v>
      </c>
      <c r="J539" s="402">
        <f t="shared" si="369"/>
        <v>2.0506666666666664</v>
      </c>
      <c r="K539" s="402">
        <f t="shared" si="369"/>
        <v>2.0506666666666664</v>
      </c>
      <c r="L539" s="402">
        <f t="shared" si="369"/>
        <v>2.0506666666666664</v>
      </c>
      <c r="M539" s="402">
        <f t="shared" si="369"/>
        <v>2.0506666666666664</v>
      </c>
      <c r="N539" s="402">
        <f t="shared" si="369"/>
        <v>2.0506666666666664</v>
      </c>
      <c r="O539" s="402">
        <f t="shared" si="369"/>
        <v>2.0506666666666664</v>
      </c>
      <c r="P539" s="402">
        <f t="shared" si="369"/>
        <v>2.0506666666666664</v>
      </c>
    </row>
    <row r="540" spans="1:16" x14ac:dyDescent="0.2">
      <c r="A540" s="381" t="s">
        <v>74</v>
      </c>
      <c r="B540" s="381">
        <f>B454</f>
        <v>0.5</v>
      </c>
      <c r="C540" s="381" t="s">
        <v>30</v>
      </c>
      <c r="D540" s="384" t="s">
        <v>30</v>
      </c>
      <c r="E540" s="401">
        <f>B540</f>
        <v>0.5</v>
      </c>
      <c r="F540" s="401">
        <f t="shared" ref="F540:P540" si="370">+E540</f>
        <v>0.5</v>
      </c>
      <c r="G540" s="401">
        <f t="shared" si="370"/>
        <v>0.5</v>
      </c>
      <c r="H540" s="401">
        <f t="shared" si="370"/>
        <v>0.5</v>
      </c>
      <c r="I540" s="401">
        <f t="shared" si="370"/>
        <v>0.5</v>
      </c>
      <c r="J540" s="401">
        <f t="shared" si="370"/>
        <v>0.5</v>
      </c>
      <c r="K540" s="401">
        <f t="shared" si="370"/>
        <v>0.5</v>
      </c>
      <c r="L540" s="401">
        <f t="shared" si="370"/>
        <v>0.5</v>
      </c>
      <c r="M540" s="401">
        <f t="shared" si="370"/>
        <v>0.5</v>
      </c>
      <c r="N540" s="401">
        <f t="shared" si="370"/>
        <v>0.5</v>
      </c>
      <c r="O540" s="401">
        <f t="shared" si="370"/>
        <v>0.5</v>
      </c>
      <c r="P540" s="401">
        <f t="shared" si="370"/>
        <v>0.5</v>
      </c>
    </row>
    <row r="541" spans="1:16" x14ac:dyDescent="0.2">
      <c r="A541" s="381" t="s">
        <v>75</v>
      </c>
      <c r="B541" s="381"/>
      <c r="C541" s="381"/>
      <c r="D541" s="384" t="s">
        <v>30</v>
      </c>
      <c r="E541" s="406">
        <f t="shared" ref="E541:P541" si="371">+E495*E494-E539</f>
        <v>6.8333333333333339</v>
      </c>
      <c r="F541" s="406">
        <f t="shared" si="371"/>
        <v>5.9493333333333336</v>
      </c>
      <c r="G541" s="406">
        <f t="shared" si="371"/>
        <v>5.9493333333333336</v>
      </c>
      <c r="H541" s="406">
        <f t="shared" si="371"/>
        <v>5.9493333333333336</v>
      </c>
      <c r="I541" s="406">
        <f t="shared" si="371"/>
        <v>5.9493333333333336</v>
      </c>
      <c r="J541" s="406">
        <f t="shared" si="371"/>
        <v>5.9493333333333336</v>
      </c>
      <c r="K541" s="406">
        <f t="shared" si="371"/>
        <v>5.9493333333333336</v>
      </c>
      <c r="L541" s="406">
        <f t="shared" si="371"/>
        <v>5.9493333333333336</v>
      </c>
      <c r="M541" s="406">
        <f t="shared" si="371"/>
        <v>5.9493333333333336</v>
      </c>
      <c r="N541" s="406">
        <f t="shared" si="371"/>
        <v>5.9493333333333336</v>
      </c>
      <c r="O541" s="406">
        <f t="shared" si="371"/>
        <v>5.9493333333333336</v>
      </c>
      <c r="P541" s="406">
        <f t="shared" si="371"/>
        <v>5.9493333333333336</v>
      </c>
    </row>
    <row r="542" spans="1:16" x14ac:dyDescent="0.2">
      <c r="A542" s="381" t="s">
        <v>76</v>
      </c>
      <c r="B542" s="381"/>
      <c r="C542" s="381"/>
      <c r="D542" s="384" t="s">
        <v>30</v>
      </c>
      <c r="E542" s="406">
        <f t="shared" ref="E542:P542" si="372">+IF(E541-E533&gt;E540,IF(E541-E533&gt;E538,E538,E541-E533),0)</f>
        <v>0</v>
      </c>
      <c r="F542" s="406">
        <f t="shared" si="372"/>
        <v>0.88400000000000012</v>
      </c>
      <c r="G542" s="406">
        <f t="shared" si="372"/>
        <v>0.88400000000000012</v>
      </c>
      <c r="H542" s="406">
        <f t="shared" si="372"/>
        <v>0.88400000000000012</v>
      </c>
      <c r="I542" s="406">
        <f t="shared" si="372"/>
        <v>0.88400000000000012</v>
      </c>
      <c r="J542" s="406">
        <f t="shared" si="372"/>
        <v>0.88400000000000012</v>
      </c>
      <c r="K542" s="406">
        <f t="shared" si="372"/>
        <v>0.88400000000000012</v>
      </c>
      <c r="L542" s="406">
        <f t="shared" si="372"/>
        <v>0.88400000000000012</v>
      </c>
      <c r="M542" s="406">
        <f t="shared" si="372"/>
        <v>0.88400000000000012</v>
      </c>
      <c r="N542" s="406">
        <f t="shared" si="372"/>
        <v>0.88400000000000012</v>
      </c>
      <c r="O542" s="406">
        <f t="shared" si="372"/>
        <v>0.88400000000000012</v>
      </c>
      <c r="P542" s="406">
        <f t="shared" si="372"/>
        <v>0.88400000000000012</v>
      </c>
    </row>
    <row r="543" spans="1:16" x14ac:dyDescent="0.2">
      <c r="A543" s="381" t="s">
        <v>77</v>
      </c>
      <c r="B543" s="381"/>
      <c r="C543" s="381"/>
      <c r="D543" s="384" t="s">
        <v>30</v>
      </c>
      <c r="E543" s="406">
        <f t="shared" ref="E543:P543" si="373">+IF(E542&gt;0,E541-E542-E533,0)</f>
        <v>0</v>
      </c>
      <c r="F543" s="406">
        <f t="shared" si="373"/>
        <v>3.8986666666666667</v>
      </c>
      <c r="G543" s="406">
        <f t="shared" si="373"/>
        <v>3.8986666666666667</v>
      </c>
      <c r="H543" s="406">
        <f t="shared" si="373"/>
        <v>3.8986666666666667</v>
      </c>
      <c r="I543" s="406">
        <f t="shared" si="373"/>
        <v>3.8986666666666667</v>
      </c>
      <c r="J543" s="406">
        <f t="shared" si="373"/>
        <v>3.8986666666666667</v>
      </c>
      <c r="K543" s="406">
        <f t="shared" si="373"/>
        <v>3.8986666666666667</v>
      </c>
      <c r="L543" s="406">
        <f t="shared" si="373"/>
        <v>3.8986666666666667</v>
      </c>
      <c r="M543" s="406">
        <f t="shared" si="373"/>
        <v>3.8986666666666667</v>
      </c>
      <c r="N543" s="406">
        <f t="shared" si="373"/>
        <v>3.8986666666666667</v>
      </c>
      <c r="O543" s="406">
        <f t="shared" si="373"/>
        <v>3.8986666666666667</v>
      </c>
      <c r="P543" s="406">
        <f t="shared" si="373"/>
        <v>3.8986666666666667</v>
      </c>
    </row>
    <row r="544" spans="1:16" x14ac:dyDescent="0.2">
      <c r="A544" s="381" t="s">
        <v>76</v>
      </c>
      <c r="B544" s="381"/>
      <c r="C544" s="381"/>
      <c r="D544" s="384" t="s">
        <v>30</v>
      </c>
      <c r="E544" s="406">
        <f t="shared" ref="E544:P544" si="374">+IF(E543-E533&gt;E540,IF(E543-E533&gt;E538,E538,E543-E533),0)</f>
        <v>0</v>
      </c>
      <c r="F544" s="406">
        <f t="shared" si="374"/>
        <v>0.88400000000000012</v>
      </c>
      <c r="G544" s="406">
        <f t="shared" si="374"/>
        <v>0.88400000000000012</v>
      </c>
      <c r="H544" s="406">
        <f t="shared" si="374"/>
        <v>0.88400000000000012</v>
      </c>
      <c r="I544" s="406">
        <f t="shared" si="374"/>
        <v>0.88400000000000012</v>
      </c>
      <c r="J544" s="406">
        <f t="shared" si="374"/>
        <v>0.88400000000000012</v>
      </c>
      <c r="K544" s="406">
        <f t="shared" si="374"/>
        <v>0.88400000000000012</v>
      </c>
      <c r="L544" s="406">
        <f t="shared" si="374"/>
        <v>0.88400000000000012</v>
      </c>
      <c r="M544" s="406">
        <f t="shared" si="374"/>
        <v>0.88400000000000012</v>
      </c>
      <c r="N544" s="406">
        <f t="shared" si="374"/>
        <v>0.88400000000000012</v>
      </c>
      <c r="O544" s="406">
        <f t="shared" si="374"/>
        <v>0.88400000000000012</v>
      </c>
      <c r="P544" s="406">
        <f t="shared" si="374"/>
        <v>0.88400000000000012</v>
      </c>
    </row>
    <row r="545" spans="1:16" x14ac:dyDescent="0.2">
      <c r="A545" s="381" t="s">
        <v>78</v>
      </c>
      <c r="B545" s="381"/>
      <c r="C545" s="381"/>
      <c r="D545" s="384" t="s">
        <v>30</v>
      </c>
      <c r="E545" s="406">
        <f t="shared" ref="E545:P545" si="375">+IF(E544&gt;0,E543-E544-E533,0)</f>
        <v>0</v>
      </c>
      <c r="F545" s="406">
        <f t="shared" si="375"/>
        <v>1.8480000000000003</v>
      </c>
      <c r="G545" s="406">
        <f t="shared" si="375"/>
        <v>1.8480000000000003</v>
      </c>
      <c r="H545" s="406">
        <f t="shared" si="375"/>
        <v>1.8480000000000003</v>
      </c>
      <c r="I545" s="406">
        <f t="shared" si="375"/>
        <v>1.8480000000000003</v>
      </c>
      <c r="J545" s="406">
        <f t="shared" si="375"/>
        <v>1.8480000000000003</v>
      </c>
      <c r="K545" s="406">
        <f t="shared" si="375"/>
        <v>1.8480000000000003</v>
      </c>
      <c r="L545" s="406">
        <f t="shared" si="375"/>
        <v>1.8480000000000003</v>
      </c>
      <c r="M545" s="406">
        <f t="shared" si="375"/>
        <v>1.8480000000000003</v>
      </c>
      <c r="N545" s="406">
        <f t="shared" si="375"/>
        <v>1.8480000000000003</v>
      </c>
      <c r="O545" s="406">
        <f t="shared" si="375"/>
        <v>1.8480000000000003</v>
      </c>
      <c r="P545" s="406">
        <f t="shared" si="375"/>
        <v>1.8480000000000003</v>
      </c>
    </row>
    <row r="546" spans="1:16" x14ac:dyDescent="0.2">
      <c r="A546" s="381" t="s">
        <v>76</v>
      </c>
      <c r="B546" s="381"/>
      <c r="C546" s="381"/>
      <c r="D546" s="384" t="s">
        <v>30</v>
      </c>
      <c r="E546" s="406">
        <f t="shared" ref="E546:P546" si="376">+IF(E545-E533&gt;E540,IF(E545-E533&gt;E538,E538,E545-E533),0)</f>
        <v>0</v>
      </c>
      <c r="F546" s="406">
        <f t="shared" si="376"/>
        <v>0.68133333333333379</v>
      </c>
      <c r="G546" s="406">
        <f t="shared" si="376"/>
        <v>0.68133333333333379</v>
      </c>
      <c r="H546" s="406">
        <f t="shared" si="376"/>
        <v>0.68133333333333379</v>
      </c>
      <c r="I546" s="406">
        <f t="shared" si="376"/>
        <v>0.68133333333333379</v>
      </c>
      <c r="J546" s="406">
        <f t="shared" si="376"/>
        <v>0.68133333333333379</v>
      </c>
      <c r="K546" s="406">
        <f t="shared" si="376"/>
        <v>0.68133333333333379</v>
      </c>
      <c r="L546" s="406">
        <f t="shared" si="376"/>
        <v>0.68133333333333379</v>
      </c>
      <c r="M546" s="406">
        <f t="shared" si="376"/>
        <v>0.68133333333333379</v>
      </c>
      <c r="N546" s="406">
        <f t="shared" si="376"/>
        <v>0.68133333333333379</v>
      </c>
      <c r="O546" s="406">
        <f t="shared" si="376"/>
        <v>0.68133333333333379</v>
      </c>
      <c r="P546" s="406">
        <f t="shared" si="376"/>
        <v>0.68133333333333379</v>
      </c>
    </row>
    <row r="547" spans="1:16" x14ac:dyDescent="0.2">
      <c r="A547" s="381" t="s">
        <v>79</v>
      </c>
      <c r="B547" s="381"/>
      <c r="C547" s="381"/>
      <c r="D547" s="384" t="s">
        <v>30</v>
      </c>
      <c r="E547" s="406">
        <f t="shared" ref="E547:P547" si="377">+IF(E546&gt;0,E545-E546-E533,0)</f>
        <v>0</v>
      </c>
      <c r="F547" s="406">
        <f t="shared" si="377"/>
        <v>0</v>
      </c>
      <c r="G547" s="406">
        <f t="shared" si="377"/>
        <v>0</v>
      </c>
      <c r="H547" s="406">
        <f t="shared" si="377"/>
        <v>0</v>
      </c>
      <c r="I547" s="406">
        <f t="shared" si="377"/>
        <v>0</v>
      </c>
      <c r="J547" s="406">
        <f t="shared" si="377"/>
        <v>0</v>
      </c>
      <c r="K547" s="406">
        <f t="shared" si="377"/>
        <v>0</v>
      </c>
      <c r="L547" s="406">
        <f t="shared" si="377"/>
        <v>0</v>
      </c>
      <c r="M547" s="406">
        <f t="shared" si="377"/>
        <v>0</v>
      </c>
      <c r="N547" s="406">
        <f t="shared" si="377"/>
        <v>0</v>
      </c>
      <c r="O547" s="406">
        <f t="shared" si="377"/>
        <v>0</v>
      </c>
      <c r="P547" s="406">
        <f t="shared" si="377"/>
        <v>0</v>
      </c>
    </row>
    <row r="548" spans="1:16" x14ac:dyDescent="0.2">
      <c r="A548" s="381" t="s">
        <v>76</v>
      </c>
      <c r="B548" s="381"/>
      <c r="C548" s="381"/>
      <c r="D548" s="384" t="s">
        <v>30</v>
      </c>
      <c r="E548" s="406">
        <f t="shared" ref="E548:P548" si="378">+IF(E547-E533&gt;E540,IF(E547-E533&gt;E538,E538,E547-E533),0)</f>
        <v>0</v>
      </c>
      <c r="F548" s="406">
        <f t="shared" si="378"/>
        <v>0</v>
      </c>
      <c r="G548" s="406">
        <f t="shared" si="378"/>
        <v>0</v>
      </c>
      <c r="H548" s="406">
        <f t="shared" si="378"/>
        <v>0</v>
      </c>
      <c r="I548" s="406">
        <f t="shared" si="378"/>
        <v>0</v>
      </c>
      <c r="J548" s="406">
        <f t="shared" si="378"/>
        <v>0</v>
      </c>
      <c r="K548" s="406">
        <f t="shared" si="378"/>
        <v>0</v>
      </c>
      <c r="L548" s="406">
        <f t="shared" si="378"/>
        <v>0</v>
      </c>
      <c r="M548" s="406">
        <f t="shared" si="378"/>
        <v>0</v>
      </c>
      <c r="N548" s="406">
        <f t="shared" si="378"/>
        <v>0</v>
      </c>
      <c r="O548" s="406">
        <f t="shared" si="378"/>
        <v>0</v>
      </c>
      <c r="P548" s="406">
        <f t="shared" si="378"/>
        <v>0</v>
      </c>
    </row>
    <row r="549" spans="1:16" x14ac:dyDescent="0.2">
      <c r="A549" s="381"/>
      <c r="B549" s="381"/>
      <c r="C549" s="381"/>
      <c r="D549" s="384"/>
      <c r="E549" s="402"/>
      <c r="F549" s="402"/>
      <c r="G549" s="402"/>
      <c r="H549" s="402"/>
      <c r="I549" s="402"/>
      <c r="J549" s="402"/>
      <c r="K549" s="402"/>
      <c r="L549" s="402"/>
      <c r="M549" s="402"/>
      <c r="N549" s="402"/>
      <c r="O549" s="402"/>
      <c r="P549" s="402"/>
    </row>
    <row r="550" spans="1:16" x14ac:dyDescent="0.2">
      <c r="A550" s="381" t="s">
        <v>80</v>
      </c>
      <c r="B550" s="381"/>
      <c r="C550" s="381"/>
      <c r="D550" s="384" t="s">
        <v>81</v>
      </c>
      <c r="E550" s="402">
        <f t="shared" ref="E550:P550" si="379">IF(E537=0,0,+(E548+E546+E544+E542+E538)/E537)</f>
        <v>0</v>
      </c>
      <c r="F550" s="402">
        <f t="shared" si="379"/>
        <v>3.7707390648567123</v>
      </c>
      <c r="G550" s="402">
        <f t="shared" si="379"/>
        <v>3.7707390648567123</v>
      </c>
      <c r="H550" s="402">
        <f t="shared" si="379"/>
        <v>3.7707390648567123</v>
      </c>
      <c r="I550" s="402">
        <f t="shared" si="379"/>
        <v>3.7707390648567123</v>
      </c>
      <c r="J550" s="402">
        <f t="shared" si="379"/>
        <v>3.7707390648567123</v>
      </c>
      <c r="K550" s="402">
        <f t="shared" si="379"/>
        <v>3.7707390648567123</v>
      </c>
      <c r="L550" s="402">
        <f t="shared" si="379"/>
        <v>3.7707390648567123</v>
      </c>
      <c r="M550" s="402">
        <f t="shared" si="379"/>
        <v>3.7707390648567123</v>
      </c>
      <c r="N550" s="402">
        <f t="shared" si="379"/>
        <v>3.7707390648567123</v>
      </c>
      <c r="O550" s="402">
        <f t="shared" si="379"/>
        <v>3.7707390648567123</v>
      </c>
      <c r="P550" s="402">
        <f t="shared" si="379"/>
        <v>3.7707390648567123</v>
      </c>
    </row>
    <row r="551" spans="1:16" x14ac:dyDescent="0.2">
      <c r="A551" s="403" t="s">
        <v>195</v>
      </c>
      <c r="B551" s="381"/>
      <c r="C551" s="381"/>
      <c r="D551" s="384" t="s">
        <v>82</v>
      </c>
      <c r="E551" s="402">
        <f t="shared" ref="E551:P551" si="380">IF(E510=1.1,+E550*E525,E550*E516)</f>
        <v>0</v>
      </c>
      <c r="F551" s="402">
        <f t="shared" si="380"/>
        <v>11.217948717948719</v>
      </c>
      <c r="G551" s="402">
        <f t="shared" si="380"/>
        <v>11.217948717948719</v>
      </c>
      <c r="H551" s="402">
        <f t="shared" si="380"/>
        <v>11.217948717948719</v>
      </c>
      <c r="I551" s="402">
        <f t="shared" si="380"/>
        <v>11.217948717948719</v>
      </c>
      <c r="J551" s="402">
        <f t="shared" si="380"/>
        <v>11.217948717948719</v>
      </c>
      <c r="K551" s="402">
        <f t="shared" si="380"/>
        <v>11.217948717948719</v>
      </c>
      <c r="L551" s="402">
        <f t="shared" si="380"/>
        <v>11.217948717948719</v>
      </c>
      <c r="M551" s="402">
        <f t="shared" si="380"/>
        <v>11.217948717948719</v>
      </c>
      <c r="N551" s="402">
        <f t="shared" si="380"/>
        <v>11.217948717948719</v>
      </c>
      <c r="O551" s="402">
        <f t="shared" si="380"/>
        <v>11.217948717948719</v>
      </c>
      <c r="P551" s="402">
        <f t="shared" si="380"/>
        <v>11.217948717948719</v>
      </c>
    </row>
    <row r="552" spans="1:16" x14ac:dyDescent="0.2">
      <c r="A552" s="381"/>
      <c r="B552" s="381"/>
      <c r="C552" s="381"/>
      <c r="D552" s="384"/>
      <c r="E552" s="394"/>
      <c r="F552" s="394"/>
      <c r="G552" s="394"/>
      <c r="H552" s="394"/>
      <c r="I552" s="394"/>
      <c r="J552" s="394"/>
      <c r="K552" s="394"/>
      <c r="L552" s="394"/>
      <c r="M552" s="394"/>
      <c r="N552" s="394"/>
      <c r="O552" s="394"/>
      <c r="P552" s="394"/>
    </row>
    <row r="553" spans="1:16" ht="13.5" customHeight="1" x14ac:dyDescent="0.2">
      <c r="A553" s="386" t="s">
        <v>52</v>
      </c>
      <c r="B553" s="386"/>
      <c r="C553" s="386"/>
      <c r="D553" s="384"/>
      <c r="E553" s="389"/>
      <c r="F553" s="389"/>
      <c r="G553" s="389"/>
      <c r="H553" s="389"/>
      <c r="I553" s="389"/>
      <c r="J553" s="389"/>
      <c r="K553" s="389"/>
      <c r="L553" s="385"/>
      <c r="M553" s="385"/>
      <c r="N553" s="385"/>
      <c r="O553" s="385"/>
      <c r="P553" s="381"/>
    </row>
    <row r="554" spans="1:16" x14ac:dyDescent="0.2">
      <c r="A554" s="381" t="str">
        <f>A89</f>
        <v>Необходими автомобили за събиране, включително резерви</v>
      </c>
      <c r="B554" s="381"/>
      <c r="C554" s="381"/>
      <c r="D554" s="384" t="s">
        <v>84</v>
      </c>
      <c r="E554" s="401">
        <f t="shared" ref="E554:P554" si="381">E555/E526</f>
        <v>0</v>
      </c>
      <c r="F554" s="401">
        <f t="shared" si="381"/>
        <v>0.9727058823529412</v>
      </c>
      <c r="G554" s="401">
        <f t="shared" si="381"/>
        <v>0.9727058823529412</v>
      </c>
      <c r="H554" s="401">
        <f t="shared" si="381"/>
        <v>0.9727058823529412</v>
      </c>
      <c r="I554" s="401">
        <f t="shared" si="381"/>
        <v>0.9727058823529412</v>
      </c>
      <c r="J554" s="401">
        <f t="shared" si="381"/>
        <v>0.9727058823529412</v>
      </c>
      <c r="K554" s="401">
        <f t="shared" si="381"/>
        <v>0.9727058823529412</v>
      </c>
      <c r="L554" s="401">
        <f t="shared" si="381"/>
        <v>0.9727058823529412</v>
      </c>
      <c r="M554" s="401">
        <f t="shared" si="381"/>
        <v>0.9727058823529412</v>
      </c>
      <c r="N554" s="401">
        <f t="shared" si="381"/>
        <v>0.9727058823529412</v>
      </c>
      <c r="O554" s="401">
        <f t="shared" si="381"/>
        <v>0.9727058823529412</v>
      </c>
      <c r="P554" s="401">
        <f t="shared" si="381"/>
        <v>0.9727058823529412</v>
      </c>
    </row>
    <row r="555" spans="1:16" x14ac:dyDescent="0.2">
      <c r="A555" s="381" t="str">
        <f>A90</f>
        <v>Автомобили за събиране в действие</v>
      </c>
      <c r="B555" s="386"/>
      <c r="C555" s="386"/>
      <c r="D555" s="384" t="s">
        <v>84</v>
      </c>
      <c r="E555" s="401">
        <f t="shared" ref="E555:P555" si="382">IF(E551=0,0,E490/E503/E551)</f>
        <v>0</v>
      </c>
      <c r="F555" s="401">
        <f t="shared" si="382"/>
        <v>0.82679999999999998</v>
      </c>
      <c r="G555" s="401">
        <f t="shared" si="382"/>
        <v>0.82679999999999998</v>
      </c>
      <c r="H555" s="401">
        <f t="shared" si="382"/>
        <v>0.82679999999999998</v>
      </c>
      <c r="I555" s="401">
        <f t="shared" si="382"/>
        <v>0.82679999999999998</v>
      </c>
      <c r="J555" s="401">
        <f t="shared" si="382"/>
        <v>0.82679999999999998</v>
      </c>
      <c r="K555" s="401">
        <f t="shared" si="382"/>
        <v>0.82679999999999998</v>
      </c>
      <c r="L555" s="401">
        <f t="shared" si="382"/>
        <v>0.82679999999999998</v>
      </c>
      <c r="M555" s="401">
        <f t="shared" si="382"/>
        <v>0.82679999999999998</v>
      </c>
      <c r="N555" s="401">
        <f t="shared" si="382"/>
        <v>0.82679999999999998</v>
      </c>
      <c r="O555" s="401">
        <f t="shared" si="382"/>
        <v>0.82679999999999998</v>
      </c>
      <c r="P555" s="401">
        <f t="shared" si="382"/>
        <v>0.82679999999999998</v>
      </c>
    </row>
    <row r="556" spans="1:16" x14ac:dyDescent="0.2">
      <c r="A556" s="381" t="str">
        <f>A91</f>
        <v>Необходим брой нови автомобили за събиране</v>
      </c>
      <c r="B556" s="407"/>
      <c r="C556" s="381"/>
      <c r="D556" s="384" t="s">
        <v>84</v>
      </c>
      <c r="E556" s="408">
        <f t="shared" ref="E556:P556" si="383">+ROUNDUP(E554,1)</f>
        <v>0</v>
      </c>
      <c r="F556" s="408">
        <f t="shared" si="383"/>
        <v>1</v>
      </c>
      <c r="G556" s="408">
        <f t="shared" si="383"/>
        <v>1</v>
      </c>
      <c r="H556" s="408">
        <f t="shared" si="383"/>
        <v>1</v>
      </c>
      <c r="I556" s="408">
        <f t="shared" si="383"/>
        <v>1</v>
      </c>
      <c r="J556" s="408">
        <f t="shared" si="383"/>
        <v>1</v>
      </c>
      <c r="K556" s="408">
        <f t="shared" si="383"/>
        <v>1</v>
      </c>
      <c r="L556" s="408">
        <f t="shared" si="383"/>
        <v>1</v>
      </c>
      <c r="M556" s="408">
        <f t="shared" si="383"/>
        <v>1</v>
      </c>
      <c r="N556" s="408">
        <f t="shared" si="383"/>
        <v>1</v>
      </c>
      <c r="O556" s="408">
        <f t="shared" si="383"/>
        <v>1</v>
      </c>
      <c r="P556" s="408">
        <f t="shared" si="383"/>
        <v>1</v>
      </c>
    </row>
    <row r="557" spans="1:16" x14ac:dyDescent="0.2">
      <c r="D557" s="359"/>
    </row>
    <row r="558" spans="1:16" x14ac:dyDescent="0.2">
      <c r="D558" s="359"/>
    </row>
    <row r="559" spans="1:16" ht="18.75" x14ac:dyDescent="0.3">
      <c r="A559" s="379" t="s">
        <v>222</v>
      </c>
      <c r="B559" s="379" t="str">
        <f>'Изходни данни'!A5</f>
        <v>малки населени места (до 3000 жители)</v>
      </c>
      <c r="D559" s="359"/>
    </row>
    <row r="560" spans="1:16" x14ac:dyDescent="0.2">
      <c r="A560" s="409"/>
      <c r="B560" s="409"/>
      <c r="C560" s="409"/>
      <c r="D560" s="410"/>
      <c r="E560" s="411"/>
      <c r="F560" s="411"/>
      <c r="G560" s="411"/>
      <c r="H560" s="411"/>
      <c r="I560" s="411"/>
      <c r="J560" s="411"/>
      <c r="K560" s="411"/>
      <c r="L560" s="411"/>
      <c r="M560" s="411"/>
      <c r="N560" s="411"/>
      <c r="O560" s="411"/>
      <c r="P560" s="411"/>
    </row>
    <row r="561" spans="1:16" x14ac:dyDescent="0.2">
      <c r="A561" s="439" t="str">
        <f>A488</f>
        <v>Обслужвано население</v>
      </c>
      <c r="B561" s="409"/>
      <c r="C561" s="409"/>
      <c r="D561" s="412" t="s">
        <v>129</v>
      </c>
      <c r="E561" s="413">
        <f>'Изходни данни'!C17</f>
        <v>0</v>
      </c>
      <c r="F561" s="413">
        <f>'Изходни данни'!D17</f>
        <v>3000</v>
      </c>
      <c r="G561" s="413">
        <f>'Изходни данни'!E17</f>
        <v>3000</v>
      </c>
      <c r="H561" s="413">
        <f>'Изходни данни'!F17</f>
        <v>3000</v>
      </c>
      <c r="I561" s="413">
        <f>'Изходни данни'!G17</f>
        <v>3000</v>
      </c>
      <c r="J561" s="413">
        <f>'Изходни данни'!H17</f>
        <v>3000</v>
      </c>
      <c r="K561" s="413">
        <f>'Изходни данни'!I17</f>
        <v>3000</v>
      </c>
      <c r="L561" s="413">
        <f>'Изходни данни'!J17</f>
        <v>3000</v>
      </c>
      <c r="M561" s="413">
        <f>'Изходни данни'!K17</f>
        <v>3000</v>
      </c>
      <c r="N561" s="413">
        <f>'Изходни данни'!L17</f>
        <v>3000</v>
      </c>
      <c r="O561" s="413">
        <f>'Изходни данни'!M17</f>
        <v>3000</v>
      </c>
      <c r="P561" s="413">
        <f>'Изходни данни'!N17</f>
        <v>3000</v>
      </c>
    </row>
    <row r="562" spans="1:16" x14ac:dyDescent="0.2">
      <c r="A562" s="409"/>
      <c r="B562" s="409"/>
      <c r="C562" s="409"/>
      <c r="D562" s="410"/>
      <c r="E562" s="411"/>
      <c r="F562" s="411"/>
      <c r="G562" s="411"/>
      <c r="H562" s="411"/>
      <c r="I562" s="411"/>
      <c r="J562" s="411"/>
      <c r="K562" s="411"/>
      <c r="L562" s="411"/>
      <c r="M562" s="411"/>
      <c r="N562" s="411"/>
      <c r="O562" s="411"/>
      <c r="P562" s="411"/>
    </row>
    <row r="563" spans="1:16" x14ac:dyDescent="0.2">
      <c r="A563" s="429" t="s">
        <v>207</v>
      </c>
      <c r="B563" s="414"/>
      <c r="C563" s="414"/>
      <c r="D563" s="410" t="s">
        <v>22</v>
      </c>
      <c r="E563" s="413">
        <f>'Масов баланс'!E303</f>
        <v>0</v>
      </c>
      <c r="F563" s="413">
        <f>'Масов баланс'!F303</f>
        <v>183.6</v>
      </c>
      <c r="G563" s="413">
        <f>'Масов баланс'!G303</f>
        <v>183.6</v>
      </c>
      <c r="H563" s="413">
        <f>'Масов баланс'!H303</f>
        <v>183.6</v>
      </c>
      <c r="I563" s="413">
        <f>'Масов баланс'!I303</f>
        <v>183.6</v>
      </c>
      <c r="J563" s="413">
        <f>'Масов баланс'!J303</f>
        <v>183.6</v>
      </c>
      <c r="K563" s="413">
        <f>'Масов баланс'!K303</f>
        <v>183.6</v>
      </c>
      <c r="L563" s="413">
        <f>'Масов баланс'!L303</f>
        <v>183.6</v>
      </c>
      <c r="M563" s="413">
        <f>'Масов баланс'!M303</f>
        <v>183.6</v>
      </c>
      <c r="N563" s="413">
        <f>'Масов баланс'!N303</f>
        <v>183.6</v>
      </c>
      <c r="O563" s="413">
        <f>'Масов баланс'!O303</f>
        <v>183.6</v>
      </c>
      <c r="P563" s="413">
        <f>'Масов баланс'!P303</f>
        <v>183.6</v>
      </c>
    </row>
    <row r="564" spans="1:16" x14ac:dyDescent="0.2">
      <c r="A564" s="409"/>
      <c r="B564" s="415"/>
      <c r="C564" s="409"/>
      <c r="D564" s="416"/>
      <c r="E564" s="417"/>
      <c r="F564" s="417"/>
      <c r="G564" s="417"/>
      <c r="H564" s="417"/>
      <c r="I564" s="417"/>
      <c r="J564" s="417"/>
      <c r="K564" s="417"/>
      <c r="L564" s="417"/>
      <c r="M564" s="418"/>
      <c r="N564" s="418"/>
      <c r="O564" s="411"/>
      <c r="P564" s="411"/>
    </row>
    <row r="565" spans="1:16" x14ac:dyDescent="0.2">
      <c r="A565" s="439" t="s">
        <v>26</v>
      </c>
      <c r="B565" s="409"/>
      <c r="C565" s="409"/>
      <c r="D565" s="410"/>
      <c r="E565" s="417"/>
      <c r="F565" s="417"/>
      <c r="G565" s="417"/>
      <c r="H565" s="417"/>
      <c r="I565" s="417"/>
      <c r="J565" s="417"/>
      <c r="K565" s="417"/>
      <c r="L565" s="418"/>
      <c r="M565" s="418"/>
      <c r="N565" s="418"/>
      <c r="O565" s="411"/>
      <c r="P565" s="411"/>
    </row>
    <row r="566" spans="1:16" x14ac:dyDescent="0.2">
      <c r="A566" s="409" t="s">
        <v>27</v>
      </c>
      <c r="B566" s="409"/>
      <c r="C566" s="409"/>
      <c r="D566" s="410" t="s">
        <v>28</v>
      </c>
      <c r="E566" s="409">
        <f>E493</f>
        <v>5</v>
      </c>
      <c r="F566" s="409">
        <f t="shared" ref="F566:P566" si="384">E566</f>
        <v>5</v>
      </c>
      <c r="G566" s="409">
        <f t="shared" si="384"/>
        <v>5</v>
      </c>
      <c r="H566" s="409">
        <f t="shared" si="384"/>
        <v>5</v>
      </c>
      <c r="I566" s="409">
        <f t="shared" si="384"/>
        <v>5</v>
      </c>
      <c r="J566" s="409">
        <f t="shared" si="384"/>
        <v>5</v>
      </c>
      <c r="K566" s="409">
        <f t="shared" si="384"/>
        <v>5</v>
      </c>
      <c r="L566" s="409">
        <f t="shared" si="384"/>
        <v>5</v>
      </c>
      <c r="M566" s="409">
        <f t="shared" si="384"/>
        <v>5</v>
      </c>
      <c r="N566" s="409">
        <f t="shared" si="384"/>
        <v>5</v>
      </c>
      <c r="O566" s="409">
        <f t="shared" si="384"/>
        <v>5</v>
      </c>
      <c r="P566" s="409">
        <f t="shared" si="384"/>
        <v>5</v>
      </c>
    </row>
    <row r="567" spans="1:16" x14ac:dyDescent="0.2">
      <c r="A567" s="409" t="s">
        <v>29</v>
      </c>
      <c r="B567" s="409"/>
      <c r="C567" s="409"/>
      <c r="D567" s="410" t="s">
        <v>30</v>
      </c>
      <c r="E567" s="409">
        <f>E494</f>
        <v>8</v>
      </c>
      <c r="F567" s="409">
        <f t="shared" ref="F567:P567" si="385">E567</f>
        <v>8</v>
      </c>
      <c r="G567" s="409">
        <f t="shared" si="385"/>
        <v>8</v>
      </c>
      <c r="H567" s="409">
        <f t="shared" si="385"/>
        <v>8</v>
      </c>
      <c r="I567" s="409">
        <f t="shared" si="385"/>
        <v>8</v>
      </c>
      <c r="J567" s="409">
        <f t="shared" si="385"/>
        <v>8</v>
      </c>
      <c r="K567" s="409">
        <f t="shared" si="385"/>
        <v>8</v>
      </c>
      <c r="L567" s="409">
        <f t="shared" si="385"/>
        <v>8</v>
      </c>
      <c r="M567" s="409">
        <f t="shared" si="385"/>
        <v>8</v>
      </c>
      <c r="N567" s="409">
        <f t="shared" si="385"/>
        <v>8</v>
      </c>
      <c r="O567" s="409">
        <f t="shared" si="385"/>
        <v>8</v>
      </c>
      <c r="P567" s="409">
        <f t="shared" si="385"/>
        <v>8</v>
      </c>
    </row>
    <row r="568" spans="1:16" x14ac:dyDescent="0.2">
      <c r="A568" s="409" t="s">
        <v>31</v>
      </c>
      <c r="B568" s="409"/>
      <c r="C568" s="409"/>
      <c r="D568" s="410" t="s">
        <v>32</v>
      </c>
      <c r="E568" s="409">
        <f>E495</f>
        <v>1</v>
      </c>
      <c r="F568" s="409">
        <f t="shared" ref="F568:P568" si="386">E568</f>
        <v>1</v>
      </c>
      <c r="G568" s="409">
        <f t="shared" si="386"/>
        <v>1</v>
      </c>
      <c r="H568" s="409">
        <f t="shared" si="386"/>
        <v>1</v>
      </c>
      <c r="I568" s="409">
        <f t="shared" si="386"/>
        <v>1</v>
      </c>
      <c r="J568" s="409">
        <f t="shared" si="386"/>
        <v>1</v>
      </c>
      <c r="K568" s="409">
        <f t="shared" si="386"/>
        <v>1</v>
      </c>
      <c r="L568" s="409">
        <f t="shared" si="386"/>
        <v>1</v>
      </c>
      <c r="M568" s="409">
        <f t="shared" si="386"/>
        <v>1</v>
      </c>
      <c r="N568" s="409">
        <f t="shared" si="386"/>
        <v>1</v>
      </c>
      <c r="O568" s="409">
        <f t="shared" si="386"/>
        <v>1</v>
      </c>
      <c r="P568" s="409">
        <f t="shared" si="386"/>
        <v>1</v>
      </c>
    </row>
    <row r="569" spans="1:16" x14ac:dyDescent="0.2">
      <c r="A569" s="409"/>
      <c r="B569" s="409"/>
      <c r="C569" s="409"/>
      <c r="D569" s="410"/>
      <c r="E569" s="409"/>
      <c r="F569" s="409"/>
      <c r="G569" s="409"/>
      <c r="H569" s="409"/>
      <c r="I569" s="409"/>
      <c r="J569" s="409"/>
      <c r="K569" s="409"/>
      <c r="L569" s="409"/>
      <c r="M569" s="409"/>
      <c r="N569" s="409"/>
      <c r="O569" s="409"/>
      <c r="P569" s="409"/>
    </row>
    <row r="570" spans="1:16" x14ac:dyDescent="0.2">
      <c r="A570" s="414" t="s">
        <v>33</v>
      </c>
      <c r="B570" s="409"/>
      <c r="C570" s="409"/>
      <c r="D570" s="410"/>
      <c r="E570" s="409"/>
      <c r="F570" s="409"/>
      <c r="G570" s="409"/>
      <c r="H570" s="409"/>
      <c r="I570" s="409"/>
      <c r="J570" s="409"/>
      <c r="K570" s="409"/>
      <c r="L570" s="409"/>
      <c r="M570" s="409"/>
      <c r="N570" s="409"/>
      <c r="O570" s="409"/>
      <c r="P570" s="409"/>
    </row>
    <row r="571" spans="1:16" x14ac:dyDescent="0.2">
      <c r="A571" s="409" t="str">
        <f>A498</f>
        <v>Работни седмици в годината</v>
      </c>
      <c r="B571" s="409"/>
      <c r="C571" s="409"/>
      <c r="D571" s="410" t="s">
        <v>34</v>
      </c>
      <c r="E571" s="409">
        <v>46</v>
      </c>
      <c r="F571" s="409">
        <v>46</v>
      </c>
      <c r="G571" s="409">
        <v>46</v>
      </c>
      <c r="H571" s="409">
        <v>46</v>
      </c>
      <c r="I571" s="409">
        <v>46</v>
      </c>
      <c r="J571" s="409">
        <v>46</v>
      </c>
      <c r="K571" s="409">
        <v>46</v>
      </c>
      <c r="L571" s="409">
        <v>46</v>
      </c>
      <c r="M571" s="409">
        <v>46</v>
      </c>
      <c r="N571" s="409">
        <v>46</v>
      </c>
      <c r="O571" s="409">
        <v>46</v>
      </c>
      <c r="P571" s="409">
        <v>46</v>
      </c>
    </row>
    <row r="572" spans="1:16" x14ac:dyDescent="0.2">
      <c r="A572" s="409" t="str">
        <f t="shared" ref="A572:A577" si="387">A499</f>
        <v>Работни дни седмично</v>
      </c>
      <c r="B572" s="409"/>
      <c r="C572" s="409"/>
      <c r="D572" s="410" t="s">
        <v>28</v>
      </c>
      <c r="E572" s="409">
        <v>5</v>
      </c>
      <c r="F572" s="409">
        <v>5</v>
      </c>
      <c r="G572" s="409">
        <v>5</v>
      </c>
      <c r="H572" s="409">
        <v>5</v>
      </c>
      <c r="I572" s="409">
        <v>5</v>
      </c>
      <c r="J572" s="409">
        <v>5</v>
      </c>
      <c r="K572" s="409">
        <v>5</v>
      </c>
      <c r="L572" s="409">
        <v>5</v>
      </c>
      <c r="M572" s="409">
        <v>5</v>
      </c>
      <c r="N572" s="409">
        <v>5</v>
      </c>
      <c r="O572" s="409">
        <v>5</v>
      </c>
      <c r="P572" s="409">
        <v>5</v>
      </c>
    </row>
    <row r="573" spans="1:16" x14ac:dyDescent="0.2">
      <c r="A573" s="409" t="str">
        <f t="shared" si="387"/>
        <v>Болнични</v>
      </c>
      <c r="B573" s="409"/>
      <c r="C573" s="409"/>
      <c r="D573" s="410"/>
      <c r="E573" s="419">
        <v>0.05</v>
      </c>
      <c r="F573" s="419">
        <v>0.05</v>
      </c>
      <c r="G573" s="419">
        <v>0.05</v>
      </c>
      <c r="H573" s="419">
        <v>0.05</v>
      </c>
      <c r="I573" s="419">
        <v>0.05</v>
      </c>
      <c r="J573" s="419">
        <v>0.05</v>
      </c>
      <c r="K573" s="419">
        <v>0.05</v>
      </c>
      <c r="L573" s="419">
        <v>0.05</v>
      </c>
      <c r="M573" s="419">
        <v>0.05</v>
      </c>
      <c r="N573" s="419">
        <v>0.05</v>
      </c>
      <c r="O573" s="419">
        <v>0.05</v>
      </c>
      <c r="P573" s="419">
        <v>0.05</v>
      </c>
    </row>
    <row r="574" spans="1:16" x14ac:dyDescent="0.2">
      <c r="A574" s="409" t="str">
        <f t="shared" si="387"/>
        <v>Работни дни в годината</v>
      </c>
      <c r="B574" s="409"/>
      <c r="C574" s="409"/>
      <c r="D574" s="410" t="s">
        <v>37</v>
      </c>
      <c r="E574" s="409">
        <f t="shared" ref="E574:P574" si="388">+E571*E572*(1-E573)</f>
        <v>218.5</v>
      </c>
      <c r="F574" s="409">
        <f t="shared" si="388"/>
        <v>218.5</v>
      </c>
      <c r="G574" s="409">
        <f t="shared" si="388"/>
        <v>218.5</v>
      </c>
      <c r="H574" s="409">
        <f t="shared" si="388"/>
        <v>218.5</v>
      </c>
      <c r="I574" s="409">
        <f t="shared" si="388"/>
        <v>218.5</v>
      </c>
      <c r="J574" s="409">
        <f t="shared" si="388"/>
        <v>218.5</v>
      </c>
      <c r="K574" s="409">
        <f t="shared" si="388"/>
        <v>218.5</v>
      </c>
      <c r="L574" s="409">
        <f t="shared" si="388"/>
        <v>218.5</v>
      </c>
      <c r="M574" s="409">
        <f t="shared" si="388"/>
        <v>218.5</v>
      </c>
      <c r="N574" s="409">
        <f t="shared" si="388"/>
        <v>218.5</v>
      </c>
      <c r="O574" s="409">
        <f t="shared" si="388"/>
        <v>218.5</v>
      </c>
      <c r="P574" s="409">
        <f t="shared" si="388"/>
        <v>218.5</v>
      </c>
    </row>
    <row r="575" spans="1:16" x14ac:dyDescent="0.2">
      <c r="A575" s="409" t="str">
        <f t="shared" si="387"/>
        <v>Работни дни седмично</v>
      </c>
      <c r="B575" s="409"/>
      <c r="C575" s="409"/>
      <c r="D575" s="410" t="s">
        <v>28</v>
      </c>
      <c r="E575" s="409">
        <f t="shared" ref="E575:P575" si="389">+E566</f>
        <v>5</v>
      </c>
      <c r="F575" s="409">
        <f t="shared" si="389"/>
        <v>5</v>
      </c>
      <c r="G575" s="409">
        <f t="shared" si="389"/>
        <v>5</v>
      </c>
      <c r="H575" s="409">
        <f t="shared" si="389"/>
        <v>5</v>
      </c>
      <c r="I575" s="409">
        <f t="shared" si="389"/>
        <v>5</v>
      </c>
      <c r="J575" s="409">
        <f t="shared" si="389"/>
        <v>5</v>
      </c>
      <c r="K575" s="409">
        <f t="shared" si="389"/>
        <v>5</v>
      </c>
      <c r="L575" s="409">
        <f t="shared" si="389"/>
        <v>5</v>
      </c>
      <c r="M575" s="409">
        <f t="shared" si="389"/>
        <v>5</v>
      </c>
      <c r="N575" s="409">
        <f t="shared" si="389"/>
        <v>5</v>
      </c>
      <c r="O575" s="409">
        <f t="shared" si="389"/>
        <v>5</v>
      </c>
      <c r="P575" s="409">
        <f t="shared" si="389"/>
        <v>5</v>
      </c>
    </row>
    <row r="576" spans="1:16" x14ac:dyDescent="0.2">
      <c r="A576" s="409" t="str">
        <f t="shared" si="387"/>
        <v>Необходими работни дни</v>
      </c>
      <c r="B576" s="409"/>
      <c r="C576" s="409"/>
      <c r="D576" s="410" t="s">
        <v>37</v>
      </c>
      <c r="E576" s="409">
        <f>E503</f>
        <v>200</v>
      </c>
      <c r="F576" s="409">
        <f>E576</f>
        <v>200</v>
      </c>
      <c r="G576" s="409">
        <f t="shared" ref="G576:P576" si="390">F576</f>
        <v>200</v>
      </c>
      <c r="H576" s="409">
        <f t="shared" si="390"/>
        <v>200</v>
      </c>
      <c r="I576" s="409">
        <f t="shared" si="390"/>
        <v>200</v>
      </c>
      <c r="J576" s="409">
        <f t="shared" si="390"/>
        <v>200</v>
      </c>
      <c r="K576" s="409">
        <f t="shared" si="390"/>
        <v>200</v>
      </c>
      <c r="L576" s="409">
        <f t="shared" si="390"/>
        <v>200</v>
      </c>
      <c r="M576" s="409">
        <f t="shared" si="390"/>
        <v>200</v>
      </c>
      <c r="N576" s="409">
        <f t="shared" si="390"/>
        <v>200</v>
      </c>
      <c r="O576" s="409">
        <f t="shared" si="390"/>
        <v>200</v>
      </c>
      <c r="P576" s="409">
        <f t="shared" si="390"/>
        <v>200</v>
      </c>
    </row>
    <row r="577" spans="1:16" x14ac:dyDescent="0.2">
      <c r="A577" s="409" t="str">
        <f t="shared" si="387"/>
        <v>Човешки фактор</v>
      </c>
      <c r="B577" s="409"/>
      <c r="C577" s="409"/>
      <c r="D577" s="410"/>
      <c r="E577" s="419">
        <f t="shared" ref="E577:P577" si="391">+E576/E574</f>
        <v>0.91533180778032042</v>
      </c>
      <c r="F577" s="419">
        <f t="shared" si="391"/>
        <v>0.91533180778032042</v>
      </c>
      <c r="G577" s="419">
        <f t="shared" si="391"/>
        <v>0.91533180778032042</v>
      </c>
      <c r="H577" s="419">
        <f t="shared" si="391"/>
        <v>0.91533180778032042</v>
      </c>
      <c r="I577" s="419">
        <f t="shared" si="391"/>
        <v>0.91533180778032042</v>
      </c>
      <c r="J577" s="419">
        <f t="shared" si="391"/>
        <v>0.91533180778032042</v>
      </c>
      <c r="K577" s="419">
        <f t="shared" si="391"/>
        <v>0.91533180778032042</v>
      </c>
      <c r="L577" s="419">
        <f t="shared" si="391"/>
        <v>0.91533180778032042</v>
      </c>
      <c r="M577" s="419">
        <f t="shared" si="391"/>
        <v>0.91533180778032042</v>
      </c>
      <c r="N577" s="419">
        <f t="shared" si="391"/>
        <v>0.91533180778032042</v>
      </c>
      <c r="O577" s="419">
        <f t="shared" si="391"/>
        <v>0.91533180778032042</v>
      </c>
      <c r="P577" s="419">
        <f t="shared" si="391"/>
        <v>0.91533180778032042</v>
      </c>
    </row>
    <row r="578" spans="1:16" x14ac:dyDescent="0.2">
      <c r="A578" s="409"/>
      <c r="B578" s="409"/>
      <c r="C578" s="409"/>
      <c r="D578" s="410"/>
      <c r="E578" s="411"/>
      <c r="F578" s="411"/>
      <c r="G578" s="411"/>
      <c r="H578" s="411"/>
      <c r="I578" s="411"/>
      <c r="J578" s="411"/>
      <c r="K578" s="411"/>
      <c r="L578" s="409"/>
      <c r="M578" s="409"/>
      <c r="N578" s="409"/>
      <c r="O578" s="409"/>
      <c r="P578" s="409"/>
    </row>
    <row r="579" spans="1:16" x14ac:dyDescent="0.2">
      <c r="A579" s="409"/>
      <c r="B579" s="409"/>
      <c r="C579" s="409"/>
      <c r="D579" s="410"/>
      <c r="E579" s="420"/>
      <c r="F579" s="420"/>
      <c r="G579" s="420"/>
      <c r="H579" s="420"/>
      <c r="I579" s="420"/>
      <c r="J579" s="420"/>
      <c r="K579" s="420"/>
      <c r="L579" s="420"/>
      <c r="M579" s="420"/>
      <c r="N579" s="420"/>
      <c r="O579" s="420"/>
      <c r="P579" s="420"/>
    </row>
    <row r="580" spans="1:16" x14ac:dyDescent="0.2">
      <c r="A580" s="414" t="s">
        <v>40</v>
      </c>
      <c r="B580" s="409"/>
      <c r="C580" s="409"/>
      <c r="D580" s="410"/>
      <c r="E580" s="420"/>
      <c r="F580" s="420"/>
      <c r="G580" s="420"/>
      <c r="H580" s="420"/>
      <c r="I580" s="420"/>
      <c r="J580" s="420"/>
      <c r="K580" s="420"/>
      <c r="L580" s="420"/>
      <c r="M580" s="420"/>
      <c r="N580" s="420"/>
      <c r="O580" s="420"/>
      <c r="P580" s="420"/>
    </row>
    <row r="581" spans="1:16" x14ac:dyDescent="0.2">
      <c r="A581" s="409" t="s">
        <v>143</v>
      </c>
      <c r="B581" s="409"/>
      <c r="C581" s="409"/>
      <c r="D581" s="410" t="s">
        <v>41</v>
      </c>
      <c r="E581" s="418">
        <f>E508</f>
        <v>0.17</v>
      </c>
      <c r="F581" s="418">
        <f t="shared" ref="F581:P581" si="392">E581</f>
        <v>0.17</v>
      </c>
      <c r="G581" s="418">
        <f t="shared" si="392"/>
        <v>0.17</v>
      </c>
      <c r="H581" s="418">
        <f t="shared" si="392"/>
        <v>0.17</v>
      </c>
      <c r="I581" s="418">
        <f t="shared" si="392"/>
        <v>0.17</v>
      </c>
      <c r="J581" s="418">
        <f t="shared" si="392"/>
        <v>0.17</v>
      </c>
      <c r="K581" s="418">
        <f t="shared" si="392"/>
        <v>0.17</v>
      </c>
      <c r="L581" s="418">
        <f t="shared" si="392"/>
        <v>0.17</v>
      </c>
      <c r="M581" s="418">
        <f t="shared" si="392"/>
        <v>0.17</v>
      </c>
      <c r="N581" s="418">
        <f t="shared" si="392"/>
        <v>0.17</v>
      </c>
      <c r="O581" s="418">
        <f t="shared" si="392"/>
        <v>0.17</v>
      </c>
      <c r="P581" s="418">
        <f t="shared" si="392"/>
        <v>0.17</v>
      </c>
    </row>
    <row r="582" spans="1:16" ht="15" x14ac:dyDescent="0.2">
      <c r="A582" s="409" t="s">
        <v>144</v>
      </c>
      <c r="B582" s="409"/>
      <c r="C582" s="409"/>
      <c r="D582" s="410" t="s">
        <v>202</v>
      </c>
      <c r="E582" s="421">
        <f t="shared" ref="E582:P582" si="393">IF(E563=0,0,E563/E581)</f>
        <v>0</v>
      </c>
      <c r="F582" s="421">
        <f t="shared" si="393"/>
        <v>1080</v>
      </c>
      <c r="G582" s="421">
        <f t="shared" si="393"/>
        <v>1080</v>
      </c>
      <c r="H582" s="421">
        <f t="shared" si="393"/>
        <v>1080</v>
      </c>
      <c r="I582" s="421">
        <f t="shared" si="393"/>
        <v>1080</v>
      </c>
      <c r="J582" s="421">
        <f t="shared" si="393"/>
        <v>1080</v>
      </c>
      <c r="K582" s="421">
        <f t="shared" si="393"/>
        <v>1080</v>
      </c>
      <c r="L582" s="421">
        <f t="shared" si="393"/>
        <v>1080</v>
      </c>
      <c r="M582" s="421">
        <f t="shared" si="393"/>
        <v>1080</v>
      </c>
      <c r="N582" s="421">
        <f t="shared" si="393"/>
        <v>1080</v>
      </c>
      <c r="O582" s="421">
        <f t="shared" si="393"/>
        <v>1080</v>
      </c>
      <c r="P582" s="421">
        <f t="shared" si="393"/>
        <v>1080</v>
      </c>
    </row>
    <row r="583" spans="1:16" ht="15" x14ac:dyDescent="0.2">
      <c r="A583" s="409" t="s">
        <v>42</v>
      </c>
      <c r="B583" s="409"/>
      <c r="C583" s="409"/>
      <c r="D583" s="410" t="s">
        <v>203</v>
      </c>
      <c r="E583" s="409">
        <f>Допускания!C27</f>
        <v>1.1000000000000001</v>
      </c>
      <c r="F583" s="409">
        <f t="shared" ref="F583:P583" si="394">E583</f>
        <v>1.1000000000000001</v>
      </c>
      <c r="G583" s="409">
        <f t="shared" si="394"/>
        <v>1.1000000000000001</v>
      </c>
      <c r="H583" s="409">
        <f t="shared" si="394"/>
        <v>1.1000000000000001</v>
      </c>
      <c r="I583" s="409">
        <f t="shared" si="394"/>
        <v>1.1000000000000001</v>
      </c>
      <c r="J583" s="409">
        <f t="shared" si="394"/>
        <v>1.1000000000000001</v>
      </c>
      <c r="K583" s="409">
        <f t="shared" si="394"/>
        <v>1.1000000000000001</v>
      </c>
      <c r="L583" s="409">
        <f t="shared" si="394"/>
        <v>1.1000000000000001</v>
      </c>
      <c r="M583" s="409">
        <f t="shared" si="394"/>
        <v>1.1000000000000001</v>
      </c>
      <c r="N583" s="409">
        <f t="shared" si="394"/>
        <v>1.1000000000000001</v>
      </c>
      <c r="O583" s="409">
        <f t="shared" si="394"/>
        <v>1.1000000000000001</v>
      </c>
      <c r="P583" s="409">
        <f t="shared" si="394"/>
        <v>1.1000000000000001</v>
      </c>
    </row>
    <row r="584" spans="1:16" x14ac:dyDescent="0.2">
      <c r="A584" s="409" t="s">
        <v>44</v>
      </c>
      <c r="B584" s="409"/>
      <c r="C584" s="409"/>
      <c r="D584" s="410" t="s">
        <v>45</v>
      </c>
      <c r="E584" s="409">
        <f>Допускания!C34</f>
        <v>52</v>
      </c>
      <c r="F584" s="409">
        <f t="shared" ref="F584:P584" si="395">+E584</f>
        <v>52</v>
      </c>
      <c r="G584" s="409">
        <f t="shared" si="395"/>
        <v>52</v>
      </c>
      <c r="H584" s="409">
        <f t="shared" si="395"/>
        <v>52</v>
      </c>
      <c r="I584" s="409">
        <f t="shared" si="395"/>
        <v>52</v>
      </c>
      <c r="J584" s="409">
        <f t="shared" si="395"/>
        <v>52</v>
      </c>
      <c r="K584" s="409">
        <f t="shared" si="395"/>
        <v>52</v>
      </c>
      <c r="L584" s="409">
        <f t="shared" si="395"/>
        <v>52</v>
      </c>
      <c r="M584" s="409">
        <f t="shared" si="395"/>
        <v>52</v>
      </c>
      <c r="N584" s="409">
        <f t="shared" si="395"/>
        <v>52</v>
      </c>
      <c r="O584" s="409">
        <f t="shared" si="395"/>
        <v>52</v>
      </c>
      <c r="P584" s="409">
        <f t="shared" si="395"/>
        <v>52</v>
      </c>
    </row>
    <row r="585" spans="1:16" x14ac:dyDescent="0.2">
      <c r="A585" s="409" t="s">
        <v>46</v>
      </c>
      <c r="B585" s="409"/>
      <c r="C585" s="409"/>
      <c r="D585" s="410" t="s">
        <v>19</v>
      </c>
      <c r="E585" s="422">
        <f>E512</f>
        <v>0.9</v>
      </c>
      <c r="F585" s="422">
        <f t="shared" ref="F585:P585" si="396">+E585</f>
        <v>0.9</v>
      </c>
      <c r="G585" s="422">
        <f t="shared" si="396"/>
        <v>0.9</v>
      </c>
      <c r="H585" s="422">
        <f t="shared" si="396"/>
        <v>0.9</v>
      </c>
      <c r="I585" s="422">
        <f t="shared" si="396"/>
        <v>0.9</v>
      </c>
      <c r="J585" s="422">
        <f t="shared" si="396"/>
        <v>0.9</v>
      </c>
      <c r="K585" s="422">
        <f t="shared" si="396"/>
        <v>0.9</v>
      </c>
      <c r="L585" s="422">
        <f t="shared" si="396"/>
        <v>0.9</v>
      </c>
      <c r="M585" s="422">
        <f t="shared" si="396"/>
        <v>0.9</v>
      </c>
      <c r="N585" s="422">
        <f t="shared" si="396"/>
        <v>0.9</v>
      </c>
      <c r="O585" s="422">
        <f t="shared" si="396"/>
        <v>0.9</v>
      </c>
      <c r="P585" s="422">
        <f t="shared" si="396"/>
        <v>0.9</v>
      </c>
    </row>
    <row r="586" spans="1:16" x14ac:dyDescent="0.2">
      <c r="A586" s="409" t="s">
        <v>47</v>
      </c>
      <c r="B586" s="409"/>
      <c r="C586" s="409"/>
      <c r="D586" s="410"/>
      <c r="E586" s="423">
        <f>E513</f>
        <v>1.5</v>
      </c>
      <c r="F586" s="409">
        <f t="shared" ref="F586:P586" si="397">E586</f>
        <v>1.5</v>
      </c>
      <c r="G586" s="409">
        <f t="shared" si="397"/>
        <v>1.5</v>
      </c>
      <c r="H586" s="409">
        <f t="shared" si="397"/>
        <v>1.5</v>
      </c>
      <c r="I586" s="409">
        <f t="shared" si="397"/>
        <v>1.5</v>
      </c>
      <c r="J586" s="409">
        <f t="shared" si="397"/>
        <v>1.5</v>
      </c>
      <c r="K586" s="409">
        <f t="shared" si="397"/>
        <v>1.5</v>
      </c>
      <c r="L586" s="409">
        <f t="shared" si="397"/>
        <v>1.5</v>
      </c>
      <c r="M586" s="409">
        <f t="shared" si="397"/>
        <v>1.5</v>
      </c>
      <c r="N586" s="409">
        <f t="shared" si="397"/>
        <v>1.5</v>
      </c>
      <c r="O586" s="409">
        <f t="shared" si="397"/>
        <v>1.5</v>
      </c>
      <c r="P586" s="409">
        <f t="shared" si="397"/>
        <v>1.5</v>
      </c>
    </row>
    <row r="587" spans="1:16" x14ac:dyDescent="0.2">
      <c r="A587" s="409" t="s">
        <v>48</v>
      </c>
      <c r="B587" s="409"/>
      <c r="C587" s="409"/>
      <c r="D587" s="410" t="s">
        <v>49</v>
      </c>
      <c r="E587" s="409">
        <f t="shared" ref="E587:P587" si="398">IF(E563=0,0,ROUNDUP((E582/E585/E583)*E586/E584,))</f>
        <v>0</v>
      </c>
      <c r="F587" s="409">
        <f t="shared" si="398"/>
        <v>32</v>
      </c>
      <c r="G587" s="409">
        <f t="shared" si="398"/>
        <v>32</v>
      </c>
      <c r="H587" s="409">
        <f t="shared" si="398"/>
        <v>32</v>
      </c>
      <c r="I587" s="409">
        <f t="shared" si="398"/>
        <v>32</v>
      </c>
      <c r="J587" s="409">
        <f t="shared" si="398"/>
        <v>32</v>
      </c>
      <c r="K587" s="409">
        <f t="shared" si="398"/>
        <v>32</v>
      </c>
      <c r="L587" s="409">
        <f t="shared" si="398"/>
        <v>32</v>
      </c>
      <c r="M587" s="409">
        <f t="shared" si="398"/>
        <v>32</v>
      </c>
      <c r="N587" s="409">
        <f t="shared" si="398"/>
        <v>32</v>
      </c>
      <c r="O587" s="409">
        <f t="shared" si="398"/>
        <v>32</v>
      </c>
      <c r="P587" s="409">
        <f t="shared" si="398"/>
        <v>32</v>
      </c>
    </row>
    <row r="588" spans="1:16" ht="15" x14ac:dyDescent="0.2">
      <c r="A588" s="409" t="s">
        <v>145</v>
      </c>
      <c r="B588" s="424"/>
      <c r="C588" s="424"/>
      <c r="D588" s="410" t="s">
        <v>203</v>
      </c>
      <c r="E588" s="425">
        <f t="shared" ref="E588:P588" si="399">IF(E587=0,0,E582/E587/E584)</f>
        <v>0</v>
      </c>
      <c r="F588" s="425">
        <f t="shared" si="399"/>
        <v>0.64903846153846156</v>
      </c>
      <c r="G588" s="425">
        <f t="shared" si="399"/>
        <v>0.64903846153846156</v>
      </c>
      <c r="H588" s="425">
        <f t="shared" si="399"/>
        <v>0.64903846153846156</v>
      </c>
      <c r="I588" s="425">
        <f t="shared" si="399"/>
        <v>0.64903846153846156</v>
      </c>
      <c r="J588" s="425">
        <f t="shared" si="399"/>
        <v>0.64903846153846156</v>
      </c>
      <c r="K588" s="425">
        <f t="shared" si="399"/>
        <v>0.64903846153846156</v>
      </c>
      <c r="L588" s="425">
        <f t="shared" si="399"/>
        <v>0.64903846153846156</v>
      </c>
      <c r="M588" s="425">
        <f t="shared" si="399"/>
        <v>0.64903846153846156</v>
      </c>
      <c r="N588" s="425">
        <f t="shared" si="399"/>
        <v>0.64903846153846156</v>
      </c>
      <c r="O588" s="425">
        <f t="shared" si="399"/>
        <v>0.64903846153846156</v>
      </c>
      <c r="P588" s="425">
        <f t="shared" si="399"/>
        <v>0.64903846153846156</v>
      </c>
    </row>
    <row r="589" spans="1:16" x14ac:dyDescent="0.2">
      <c r="A589" s="409" t="s">
        <v>146</v>
      </c>
      <c r="B589" s="424"/>
      <c r="C589" s="424"/>
      <c r="D589" s="410" t="s">
        <v>43</v>
      </c>
      <c r="E589" s="426">
        <f t="shared" ref="E589:P589" si="400">+E588*E581</f>
        <v>0</v>
      </c>
      <c r="F589" s="426">
        <f t="shared" si="400"/>
        <v>0.11033653846153847</v>
      </c>
      <c r="G589" s="426">
        <f t="shared" si="400"/>
        <v>0.11033653846153847</v>
      </c>
      <c r="H589" s="426">
        <f t="shared" si="400"/>
        <v>0.11033653846153847</v>
      </c>
      <c r="I589" s="426">
        <f t="shared" si="400"/>
        <v>0.11033653846153847</v>
      </c>
      <c r="J589" s="426">
        <f t="shared" si="400"/>
        <v>0.11033653846153847</v>
      </c>
      <c r="K589" s="426">
        <f t="shared" si="400"/>
        <v>0.11033653846153847</v>
      </c>
      <c r="L589" s="426">
        <f t="shared" si="400"/>
        <v>0.11033653846153847</v>
      </c>
      <c r="M589" s="426">
        <f t="shared" si="400"/>
        <v>0.11033653846153847</v>
      </c>
      <c r="N589" s="426">
        <f t="shared" si="400"/>
        <v>0.11033653846153847</v>
      </c>
      <c r="O589" s="426">
        <f t="shared" si="400"/>
        <v>0.11033653846153847</v>
      </c>
      <c r="P589" s="426">
        <f t="shared" si="400"/>
        <v>0.11033653846153847</v>
      </c>
    </row>
    <row r="590" spans="1:16" x14ac:dyDescent="0.2">
      <c r="A590" s="409"/>
      <c r="B590" s="409"/>
      <c r="C590" s="409"/>
      <c r="D590" s="410"/>
      <c r="E590" s="427"/>
      <c r="F590" s="427"/>
      <c r="G590" s="427"/>
      <c r="H590" s="427"/>
      <c r="I590" s="427"/>
      <c r="J590" s="427"/>
      <c r="K590" s="427"/>
      <c r="L590" s="427"/>
      <c r="M590" s="427"/>
      <c r="N590" s="427"/>
      <c r="O590" s="427"/>
      <c r="P590" s="427"/>
    </row>
    <row r="591" spans="1:16" x14ac:dyDescent="0.2">
      <c r="A591" s="414" t="s">
        <v>48</v>
      </c>
      <c r="B591" s="409"/>
      <c r="C591" s="409"/>
      <c r="D591" s="410"/>
      <c r="E591" s="420">
        <f t="shared" ref="E591:P591" si="401">+E587*(1+E592)</f>
        <v>0</v>
      </c>
      <c r="F591" s="420">
        <f t="shared" si="401"/>
        <v>33.6</v>
      </c>
      <c r="G591" s="420">
        <f t="shared" si="401"/>
        <v>33.6</v>
      </c>
      <c r="H591" s="420">
        <f t="shared" si="401"/>
        <v>33.6</v>
      </c>
      <c r="I591" s="420">
        <f t="shared" si="401"/>
        <v>33.6</v>
      </c>
      <c r="J591" s="420">
        <f t="shared" si="401"/>
        <v>33.6</v>
      </c>
      <c r="K591" s="420">
        <f t="shared" si="401"/>
        <v>33.6</v>
      </c>
      <c r="L591" s="420">
        <f t="shared" si="401"/>
        <v>33.6</v>
      </c>
      <c r="M591" s="420">
        <f t="shared" si="401"/>
        <v>33.6</v>
      </c>
      <c r="N591" s="420">
        <f t="shared" si="401"/>
        <v>33.6</v>
      </c>
      <c r="O591" s="420">
        <f t="shared" si="401"/>
        <v>33.6</v>
      </c>
      <c r="P591" s="420">
        <f t="shared" si="401"/>
        <v>33.6</v>
      </c>
    </row>
    <row r="592" spans="1:16" x14ac:dyDescent="0.2">
      <c r="A592" s="409" t="str">
        <f>A519</f>
        <v>Резерви за поддръжка</v>
      </c>
      <c r="B592" s="409"/>
      <c r="C592" s="409"/>
      <c r="D592" s="410"/>
      <c r="E592" s="428">
        <f>E519</f>
        <v>0.05</v>
      </c>
      <c r="F592" s="428">
        <f t="shared" ref="F592:P592" si="402">E592</f>
        <v>0.05</v>
      </c>
      <c r="G592" s="428">
        <f t="shared" si="402"/>
        <v>0.05</v>
      </c>
      <c r="H592" s="428">
        <f t="shared" si="402"/>
        <v>0.05</v>
      </c>
      <c r="I592" s="428">
        <f t="shared" si="402"/>
        <v>0.05</v>
      </c>
      <c r="J592" s="428">
        <f t="shared" si="402"/>
        <v>0.05</v>
      </c>
      <c r="K592" s="428">
        <f t="shared" si="402"/>
        <v>0.05</v>
      </c>
      <c r="L592" s="428">
        <f t="shared" si="402"/>
        <v>0.05</v>
      </c>
      <c r="M592" s="428">
        <f t="shared" si="402"/>
        <v>0.05</v>
      </c>
      <c r="N592" s="428">
        <f t="shared" si="402"/>
        <v>0.05</v>
      </c>
      <c r="O592" s="428">
        <f t="shared" si="402"/>
        <v>0.05</v>
      </c>
      <c r="P592" s="428">
        <f t="shared" si="402"/>
        <v>0.05</v>
      </c>
    </row>
    <row r="593" spans="1:16" x14ac:dyDescent="0.2">
      <c r="A593" s="409" t="str">
        <f>A520</f>
        <v>Среден брой контейнери</v>
      </c>
      <c r="B593" s="409"/>
      <c r="C593" s="409"/>
      <c r="D593" s="410"/>
      <c r="E593" s="420">
        <f t="shared" ref="E593:P593" si="403">+E591</f>
        <v>0</v>
      </c>
      <c r="F593" s="420">
        <f t="shared" si="403"/>
        <v>33.6</v>
      </c>
      <c r="G593" s="420">
        <f t="shared" si="403"/>
        <v>33.6</v>
      </c>
      <c r="H593" s="420">
        <f t="shared" si="403"/>
        <v>33.6</v>
      </c>
      <c r="I593" s="420">
        <f t="shared" si="403"/>
        <v>33.6</v>
      </c>
      <c r="J593" s="420">
        <f t="shared" si="403"/>
        <v>33.6</v>
      </c>
      <c r="K593" s="420">
        <f t="shared" si="403"/>
        <v>33.6</v>
      </c>
      <c r="L593" s="420">
        <f t="shared" si="403"/>
        <v>33.6</v>
      </c>
      <c r="M593" s="420">
        <f t="shared" si="403"/>
        <v>33.6</v>
      </c>
      <c r="N593" s="420">
        <f t="shared" si="403"/>
        <v>33.6</v>
      </c>
      <c r="O593" s="420">
        <f t="shared" si="403"/>
        <v>33.6</v>
      </c>
      <c r="P593" s="420">
        <f t="shared" si="403"/>
        <v>33.6</v>
      </c>
    </row>
    <row r="594" spans="1:16" x14ac:dyDescent="0.2">
      <c r="A594" s="409"/>
      <c r="B594" s="409"/>
      <c r="C594" s="409"/>
      <c r="D594" s="410"/>
      <c r="E594" s="417"/>
      <c r="F594" s="417"/>
      <c r="G594" s="417"/>
      <c r="H594" s="417"/>
      <c r="I594" s="417"/>
      <c r="J594" s="417"/>
      <c r="K594" s="417"/>
      <c r="L594" s="417"/>
      <c r="M594" s="417"/>
      <c r="N594" s="417"/>
      <c r="O594" s="417"/>
      <c r="P594" s="417"/>
    </row>
    <row r="595" spans="1:16" x14ac:dyDescent="0.2">
      <c r="A595" s="429" t="s">
        <v>173</v>
      </c>
      <c r="B595" s="409"/>
      <c r="C595" s="409"/>
      <c r="D595" s="410"/>
      <c r="E595" s="430"/>
      <c r="F595" s="430"/>
      <c r="G595" s="430"/>
      <c r="H595" s="430"/>
      <c r="I595" s="430"/>
      <c r="J595" s="430"/>
      <c r="K595" s="430"/>
      <c r="L595" s="430"/>
      <c r="M595" s="430"/>
      <c r="N595" s="430"/>
      <c r="O595" s="430"/>
      <c r="P595" s="430"/>
    </row>
    <row r="596" spans="1:16" x14ac:dyDescent="0.2">
      <c r="A596" s="409" t="s">
        <v>54</v>
      </c>
      <c r="B596" s="409"/>
      <c r="C596" s="409"/>
      <c r="D596" s="410" t="s">
        <v>22</v>
      </c>
      <c r="E596" s="430">
        <f>Допускания!$C$47*0.35</f>
        <v>3.5</v>
      </c>
      <c r="F596" s="430">
        <f t="shared" ref="F596:P596" si="404">+E596</f>
        <v>3.5</v>
      </c>
      <c r="G596" s="430">
        <f t="shared" si="404"/>
        <v>3.5</v>
      </c>
      <c r="H596" s="430">
        <f t="shared" si="404"/>
        <v>3.5</v>
      </c>
      <c r="I596" s="430">
        <f t="shared" si="404"/>
        <v>3.5</v>
      </c>
      <c r="J596" s="430">
        <f t="shared" si="404"/>
        <v>3.5</v>
      </c>
      <c r="K596" s="430">
        <f t="shared" si="404"/>
        <v>3.5</v>
      </c>
      <c r="L596" s="430">
        <f t="shared" si="404"/>
        <v>3.5</v>
      </c>
      <c r="M596" s="430">
        <f t="shared" si="404"/>
        <v>3.5</v>
      </c>
      <c r="N596" s="430">
        <f t="shared" si="404"/>
        <v>3.5</v>
      </c>
      <c r="O596" s="430">
        <f t="shared" si="404"/>
        <v>3.5</v>
      </c>
      <c r="P596" s="430">
        <f t="shared" si="404"/>
        <v>3.5</v>
      </c>
    </row>
    <row r="597" spans="1:16" x14ac:dyDescent="0.2">
      <c r="A597" s="409" t="s">
        <v>55</v>
      </c>
      <c r="B597" s="409"/>
      <c r="C597" s="409"/>
      <c r="D597" s="410" t="s">
        <v>56</v>
      </c>
      <c r="E597" s="422">
        <f>E524</f>
        <v>0.85</v>
      </c>
      <c r="F597" s="422">
        <f t="shared" ref="F597:P597" si="405">+E597</f>
        <v>0.85</v>
      </c>
      <c r="G597" s="422">
        <f t="shared" si="405"/>
        <v>0.85</v>
      </c>
      <c r="H597" s="422">
        <f t="shared" si="405"/>
        <v>0.85</v>
      </c>
      <c r="I597" s="422">
        <f t="shared" si="405"/>
        <v>0.85</v>
      </c>
      <c r="J597" s="422">
        <f t="shared" si="405"/>
        <v>0.85</v>
      </c>
      <c r="K597" s="422">
        <f t="shared" si="405"/>
        <v>0.85</v>
      </c>
      <c r="L597" s="422">
        <f t="shared" si="405"/>
        <v>0.85</v>
      </c>
      <c r="M597" s="422">
        <f t="shared" si="405"/>
        <v>0.85</v>
      </c>
      <c r="N597" s="422">
        <f t="shared" si="405"/>
        <v>0.85</v>
      </c>
      <c r="O597" s="422">
        <f t="shared" si="405"/>
        <v>0.85</v>
      </c>
      <c r="P597" s="422">
        <f t="shared" si="405"/>
        <v>0.85</v>
      </c>
    </row>
    <row r="598" spans="1:16" x14ac:dyDescent="0.2">
      <c r="A598" s="409" t="s">
        <v>57</v>
      </c>
      <c r="B598" s="409"/>
      <c r="C598" s="409"/>
      <c r="D598" s="410" t="s">
        <v>22</v>
      </c>
      <c r="E598" s="430">
        <f t="shared" ref="E598:P598" si="406">+E596*E597</f>
        <v>2.9750000000000001</v>
      </c>
      <c r="F598" s="430">
        <f t="shared" si="406"/>
        <v>2.9750000000000001</v>
      </c>
      <c r="G598" s="430">
        <f t="shared" si="406"/>
        <v>2.9750000000000001</v>
      </c>
      <c r="H598" s="430">
        <f t="shared" si="406"/>
        <v>2.9750000000000001</v>
      </c>
      <c r="I598" s="430">
        <f t="shared" si="406"/>
        <v>2.9750000000000001</v>
      </c>
      <c r="J598" s="430">
        <f t="shared" si="406"/>
        <v>2.9750000000000001</v>
      </c>
      <c r="K598" s="430">
        <f t="shared" si="406"/>
        <v>2.9750000000000001</v>
      </c>
      <c r="L598" s="430">
        <f t="shared" si="406"/>
        <v>2.9750000000000001</v>
      </c>
      <c r="M598" s="430">
        <f t="shared" si="406"/>
        <v>2.9750000000000001</v>
      </c>
      <c r="N598" s="430">
        <f t="shared" si="406"/>
        <v>2.9750000000000001</v>
      </c>
      <c r="O598" s="430">
        <f t="shared" si="406"/>
        <v>2.9750000000000001</v>
      </c>
      <c r="P598" s="430">
        <f t="shared" si="406"/>
        <v>2.9750000000000001</v>
      </c>
    </row>
    <row r="599" spans="1:16" x14ac:dyDescent="0.2">
      <c r="A599" s="409" t="s">
        <v>58</v>
      </c>
      <c r="B599" s="409"/>
      <c r="C599" s="409"/>
      <c r="D599" s="410"/>
      <c r="E599" s="422">
        <f>E526</f>
        <v>0.85</v>
      </c>
      <c r="F599" s="422">
        <f t="shared" ref="F599:P599" si="407">+E599</f>
        <v>0.85</v>
      </c>
      <c r="G599" s="422">
        <f t="shared" si="407"/>
        <v>0.85</v>
      </c>
      <c r="H599" s="422">
        <f t="shared" si="407"/>
        <v>0.85</v>
      </c>
      <c r="I599" s="422">
        <f t="shared" si="407"/>
        <v>0.85</v>
      </c>
      <c r="J599" s="422">
        <f t="shared" si="407"/>
        <v>0.85</v>
      </c>
      <c r="K599" s="422">
        <f t="shared" si="407"/>
        <v>0.85</v>
      </c>
      <c r="L599" s="422">
        <f t="shared" si="407"/>
        <v>0.85</v>
      </c>
      <c r="M599" s="422">
        <f t="shared" si="407"/>
        <v>0.85</v>
      </c>
      <c r="N599" s="422">
        <f t="shared" si="407"/>
        <v>0.85</v>
      </c>
      <c r="O599" s="422">
        <f t="shared" si="407"/>
        <v>0.85</v>
      </c>
      <c r="P599" s="422">
        <f t="shared" si="407"/>
        <v>0.85</v>
      </c>
    </row>
    <row r="600" spans="1:16" x14ac:dyDescent="0.2">
      <c r="A600" s="409"/>
      <c r="B600" s="409"/>
      <c r="C600" s="409"/>
      <c r="D600" s="410"/>
      <c r="E600" s="422"/>
      <c r="F600" s="422"/>
      <c r="G600" s="422"/>
      <c r="H600" s="422"/>
      <c r="I600" s="422"/>
      <c r="J600" s="422"/>
      <c r="K600" s="422"/>
      <c r="L600" s="422"/>
      <c r="M600" s="422"/>
      <c r="N600" s="422"/>
      <c r="O600" s="422"/>
      <c r="P600" s="422"/>
    </row>
    <row r="601" spans="1:16" x14ac:dyDescent="0.2">
      <c r="A601" s="414" t="s">
        <v>59</v>
      </c>
      <c r="B601" s="409"/>
      <c r="C601" s="409"/>
      <c r="D601" s="410"/>
      <c r="E601" s="422"/>
      <c r="F601" s="422"/>
      <c r="G601" s="422"/>
      <c r="H601" s="422"/>
      <c r="I601" s="422"/>
      <c r="J601" s="422"/>
      <c r="K601" s="422"/>
      <c r="L601" s="422"/>
      <c r="M601" s="422"/>
      <c r="N601" s="422"/>
      <c r="O601" s="422"/>
      <c r="P601" s="422"/>
    </row>
    <row r="602" spans="1:16" x14ac:dyDescent="0.2">
      <c r="A602" s="409" t="s">
        <v>60</v>
      </c>
      <c r="B602" s="409"/>
      <c r="C602" s="409"/>
      <c r="D602" s="410" t="s">
        <v>61</v>
      </c>
      <c r="E602" s="420">
        <f>Допускания!C11</f>
        <v>20</v>
      </c>
      <c r="F602" s="420">
        <f t="shared" ref="F602:P602" si="408">+E602</f>
        <v>20</v>
      </c>
      <c r="G602" s="420">
        <f t="shared" si="408"/>
        <v>20</v>
      </c>
      <c r="H602" s="420">
        <f t="shared" si="408"/>
        <v>20</v>
      </c>
      <c r="I602" s="420">
        <f t="shared" si="408"/>
        <v>20</v>
      </c>
      <c r="J602" s="420">
        <f t="shared" si="408"/>
        <v>20</v>
      </c>
      <c r="K602" s="420">
        <f t="shared" si="408"/>
        <v>20</v>
      </c>
      <c r="L602" s="420">
        <f t="shared" si="408"/>
        <v>20</v>
      </c>
      <c r="M602" s="420">
        <f t="shared" si="408"/>
        <v>20</v>
      </c>
      <c r="N602" s="420">
        <f t="shared" si="408"/>
        <v>20</v>
      </c>
      <c r="O602" s="420">
        <f t="shared" si="408"/>
        <v>20</v>
      </c>
      <c r="P602" s="420">
        <f t="shared" si="408"/>
        <v>20</v>
      </c>
    </row>
    <row r="603" spans="1:16" x14ac:dyDescent="0.2">
      <c r="A603" s="409" t="s">
        <v>62</v>
      </c>
      <c r="B603" s="409"/>
      <c r="C603" s="409"/>
      <c r="D603" s="410" t="s">
        <v>63</v>
      </c>
      <c r="E603" s="430">
        <f>E530</f>
        <v>30</v>
      </c>
      <c r="F603" s="420">
        <f t="shared" ref="F603:P603" si="409">E603</f>
        <v>30</v>
      </c>
      <c r="G603" s="420">
        <f t="shared" si="409"/>
        <v>30</v>
      </c>
      <c r="H603" s="420">
        <f t="shared" si="409"/>
        <v>30</v>
      </c>
      <c r="I603" s="420">
        <f t="shared" si="409"/>
        <v>30</v>
      </c>
      <c r="J603" s="420">
        <f t="shared" si="409"/>
        <v>30</v>
      </c>
      <c r="K603" s="420">
        <f t="shared" si="409"/>
        <v>30</v>
      </c>
      <c r="L603" s="420">
        <f t="shared" si="409"/>
        <v>30</v>
      </c>
      <c r="M603" s="420">
        <f t="shared" si="409"/>
        <v>30</v>
      </c>
      <c r="N603" s="420">
        <f t="shared" si="409"/>
        <v>30</v>
      </c>
      <c r="O603" s="420">
        <f t="shared" si="409"/>
        <v>30</v>
      </c>
      <c r="P603" s="420">
        <f t="shared" si="409"/>
        <v>30</v>
      </c>
    </row>
    <row r="604" spans="1:16" x14ac:dyDescent="0.2">
      <c r="A604" s="409" t="s">
        <v>64</v>
      </c>
      <c r="B604" s="409"/>
      <c r="C604" s="409"/>
      <c r="D604" s="410" t="s">
        <v>30</v>
      </c>
      <c r="E604" s="431">
        <f t="shared" ref="E604:P604" si="410">+E602*2/E603</f>
        <v>1.3333333333333333</v>
      </c>
      <c r="F604" s="431">
        <f t="shared" si="410"/>
        <v>1.3333333333333333</v>
      </c>
      <c r="G604" s="431">
        <f t="shared" si="410"/>
        <v>1.3333333333333333</v>
      </c>
      <c r="H604" s="431">
        <f t="shared" si="410"/>
        <v>1.3333333333333333</v>
      </c>
      <c r="I604" s="431">
        <f t="shared" si="410"/>
        <v>1.3333333333333333</v>
      </c>
      <c r="J604" s="431">
        <f t="shared" si="410"/>
        <v>1.3333333333333333</v>
      </c>
      <c r="K604" s="431">
        <f t="shared" si="410"/>
        <v>1.3333333333333333</v>
      </c>
      <c r="L604" s="431">
        <f t="shared" si="410"/>
        <v>1.3333333333333333</v>
      </c>
      <c r="M604" s="431">
        <f t="shared" si="410"/>
        <v>1.3333333333333333</v>
      </c>
      <c r="N604" s="431">
        <f t="shared" si="410"/>
        <v>1.3333333333333333</v>
      </c>
      <c r="O604" s="431">
        <f t="shared" si="410"/>
        <v>1.3333333333333333</v>
      </c>
      <c r="P604" s="431">
        <f t="shared" si="410"/>
        <v>1.3333333333333333</v>
      </c>
    </row>
    <row r="605" spans="1:16" s="1" customFormat="1" x14ac:dyDescent="0.2">
      <c r="A605" s="432" t="s">
        <v>65</v>
      </c>
      <c r="B605" s="432"/>
      <c r="C605" s="432"/>
      <c r="D605" s="410" t="s">
        <v>30</v>
      </c>
      <c r="E605" s="433">
        <f>E532</f>
        <v>0.5</v>
      </c>
      <c r="F605" s="433">
        <f t="shared" ref="F605:P605" si="411">E605</f>
        <v>0.5</v>
      </c>
      <c r="G605" s="433">
        <f t="shared" si="411"/>
        <v>0.5</v>
      </c>
      <c r="H605" s="433">
        <f t="shared" si="411"/>
        <v>0.5</v>
      </c>
      <c r="I605" s="433">
        <f t="shared" si="411"/>
        <v>0.5</v>
      </c>
      <c r="J605" s="433">
        <f t="shared" si="411"/>
        <v>0.5</v>
      </c>
      <c r="K605" s="433">
        <f t="shared" si="411"/>
        <v>0.5</v>
      </c>
      <c r="L605" s="433">
        <f t="shared" si="411"/>
        <v>0.5</v>
      </c>
      <c r="M605" s="433">
        <f t="shared" si="411"/>
        <v>0.5</v>
      </c>
      <c r="N605" s="433">
        <f t="shared" si="411"/>
        <v>0.5</v>
      </c>
      <c r="O605" s="433">
        <f t="shared" si="411"/>
        <v>0.5</v>
      </c>
      <c r="P605" s="433">
        <f t="shared" si="411"/>
        <v>0.5</v>
      </c>
    </row>
    <row r="606" spans="1:16" x14ac:dyDescent="0.2">
      <c r="A606" s="409" t="s">
        <v>66</v>
      </c>
      <c r="B606" s="409"/>
      <c r="C606" s="409"/>
      <c r="D606" s="410" t="s">
        <v>30</v>
      </c>
      <c r="E606" s="431">
        <f t="shared" ref="E606:P606" si="412">+E605+E604</f>
        <v>1.8333333333333333</v>
      </c>
      <c r="F606" s="431">
        <f t="shared" si="412"/>
        <v>1.8333333333333333</v>
      </c>
      <c r="G606" s="431">
        <f t="shared" si="412"/>
        <v>1.8333333333333333</v>
      </c>
      <c r="H606" s="431">
        <f t="shared" si="412"/>
        <v>1.8333333333333333</v>
      </c>
      <c r="I606" s="431">
        <f t="shared" si="412"/>
        <v>1.8333333333333333</v>
      </c>
      <c r="J606" s="431">
        <f t="shared" si="412"/>
        <v>1.8333333333333333</v>
      </c>
      <c r="K606" s="431">
        <f t="shared" si="412"/>
        <v>1.8333333333333333</v>
      </c>
      <c r="L606" s="431">
        <f t="shared" si="412"/>
        <v>1.8333333333333333</v>
      </c>
      <c r="M606" s="431">
        <f t="shared" si="412"/>
        <v>1.8333333333333333</v>
      </c>
      <c r="N606" s="431">
        <f t="shared" si="412"/>
        <v>1.8333333333333333</v>
      </c>
      <c r="O606" s="431">
        <f t="shared" si="412"/>
        <v>1.8333333333333333</v>
      </c>
      <c r="P606" s="431">
        <f t="shared" si="412"/>
        <v>1.8333333333333333</v>
      </c>
    </row>
    <row r="607" spans="1:16" x14ac:dyDescent="0.2">
      <c r="A607" s="409" t="s">
        <v>67</v>
      </c>
      <c r="B607" s="409"/>
      <c r="C607" s="409"/>
      <c r="D607" s="410" t="s">
        <v>68</v>
      </c>
      <c r="E607" s="430">
        <f>Допускания!C55</f>
        <v>2</v>
      </c>
      <c r="F607" s="431">
        <f t="shared" ref="F607:P607" si="413">+E607</f>
        <v>2</v>
      </c>
      <c r="G607" s="431">
        <f t="shared" si="413"/>
        <v>2</v>
      </c>
      <c r="H607" s="431">
        <f t="shared" si="413"/>
        <v>2</v>
      </c>
      <c r="I607" s="431">
        <f t="shared" si="413"/>
        <v>2</v>
      </c>
      <c r="J607" s="431">
        <f t="shared" si="413"/>
        <v>2</v>
      </c>
      <c r="K607" s="431">
        <f t="shared" si="413"/>
        <v>2</v>
      </c>
      <c r="L607" s="431">
        <f t="shared" si="413"/>
        <v>2</v>
      </c>
      <c r="M607" s="431">
        <f t="shared" si="413"/>
        <v>2</v>
      </c>
      <c r="N607" s="431">
        <f t="shared" si="413"/>
        <v>2</v>
      </c>
      <c r="O607" s="431">
        <f t="shared" si="413"/>
        <v>2</v>
      </c>
      <c r="P607" s="431">
        <f t="shared" si="413"/>
        <v>2</v>
      </c>
    </row>
    <row r="608" spans="1:16" x14ac:dyDescent="0.2">
      <c r="A608" s="409" t="s">
        <v>146</v>
      </c>
      <c r="B608" s="409"/>
      <c r="C608" s="409"/>
      <c r="D608" s="410" t="s">
        <v>43</v>
      </c>
      <c r="E608" s="434">
        <f t="shared" ref="E608:P608" si="414">+E589</f>
        <v>0</v>
      </c>
      <c r="F608" s="434">
        <f t="shared" si="414"/>
        <v>0.11033653846153847</v>
      </c>
      <c r="G608" s="434">
        <f t="shared" si="414"/>
        <v>0.11033653846153847</v>
      </c>
      <c r="H608" s="434">
        <f t="shared" si="414"/>
        <v>0.11033653846153847</v>
      </c>
      <c r="I608" s="434">
        <f t="shared" si="414"/>
        <v>0.11033653846153847</v>
      </c>
      <c r="J608" s="434">
        <f t="shared" si="414"/>
        <v>0.11033653846153847</v>
      </c>
      <c r="K608" s="434">
        <f t="shared" si="414"/>
        <v>0.11033653846153847</v>
      </c>
      <c r="L608" s="434">
        <f t="shared" si="414"/>
        <v>0.11033653846153847</v>
      </c>
      <c r="M608" s="434">
        <f t="shared" si="414"/>
        <v>0.11033653846153847</v>
      </c>
      <c r="N608" s="434">
        <f t="shared" si="414"/>
        <v>0.11033653846153847</v>
      </c>
      <c r="O608" s="434">
        <f t="shared" si="414"/>
        <v>0.11033653846153847</v>
      </c>
      <c r="P608" s="434">
        <f t="shared" si="414"/>
        <v>0.11033653846153847</v>
      </c>
    </row>
    <row r="609" spans="1:16" x14ac:dyDescent="0.2">
      <c r="A609" s="409" t="s">
        <v>69</v>
      </c>
      <c r="B609" s="409"/>
      <c r="C609" s="409"/>
      <c r="D609" s="410" t="s">
        <v>70</v>
      </c>
      <c r="E609" s="431">
        <f t="shared" ref="E609:P609" si="415">+E608*60/E607</f>
        <v>0</v>
      </c>
      <c r="F609" s="431">
        <f t="shared" si="415"/>
        <v>3.3100961538461542</v>
      </c>
      <c r="G609" s="431">
        <f t="shared" si="415"/>
        <v>3.3100961538461542</v>
      </c>
      <c r="H609" s="431">
        <f t="shared" si="415"/>
        <v>3.3100961538461542</v>
      </c>
      <c r="I609" s="431">
        <f t="shared" si="415"/>
        <v>3.3100961538461542</v>
      </c>
      <c r="J609" s="431">
        <f t="shared" si="415"/>
        <v>3.3100961538461542</v>
      </c>
      <c r="K609" s="431">
        <f t="shared" si="415"/>
        <v>3.3100961538461542</v>
      </c>
      <c r="L609" s="431">
        <f t="shared" si="415"/>
        <v>3.3100961538461542</v>
      </c>
      <c r="M609" s="431">
        <f t="shared" si="415"/>
        <v>3.3100961538461542</v>
      </c>
      <c r="N609" s="431">
        <f t="shared" si="415"/>
        <v>3.3100961538461542</v>
      </c>
      <c r="O609" s="431">
        <f t="shared" si="415"/>
        <v>3.3100961538461542</v>
      </c>
      <c r="P609" s="431">
        <f t="shared" si="415"/>
        <v>3.3100961538461542</v>
      </c>
    </row>
    <row r="610" spans="1:16" x14ac:dyDescent="0.2">
      <c r="A610" s="409" t="s">
        <v>71</v>
      </c>
      <c r="B610" s="409"/>
      <c r="C610" s="409"/>
      <c r="D610" s="410" t="s">
        <v>30</v>
      </c>
      <c r="E610" s="431">
        <f>IF(E609=0,0,IF(E583=1.1,+E598/E609,E607/60))</f>
        <v>0</v>
      </c>
      <c r="F610" s="431">
        <f t="shared" ref="F610:P610" si="416">IF(F609=0,0,IF(F583=1.1,+F598/F609,F607/60))</f>
        <v>0.89876543209876536</v>
      </c>
      <c r="G610" s="431">
        <f t="shared" si="416"/>
        <v>0.89876543209876536</v>
      </c>
      <c r="H610" s="431">
        <f t="shared" si="416"/>
        <v>0.89876543209876536</v>
      </c>
      <c r="I610" s="431">
        <f t="shared" si="416"/>
        <v>0.89876543209876536</v>
      </c>
      <c r="J610" s="431">
        <f t="shared" si="416"/>
        <v>0.89876543209876536</v>
      </c>
      <c r="K610" s="431">
        <f t="shared" si="416"/>
        <v>0.89876543209876536</v>
      </c>
      <c r="L610" s="431">
        <f t="shared" si="416"/>
        <v>0.89876543209876536</v>
      </c>
      <c r="M610" s="431">
        <f t="shared" si="416"/>
        <v>0.89876543209876536</v>
      </c>
      <c r="N610" s="431">
        <f t="shared" si="416"/>
        <v>0.89876543209876536</v>
      </c>
      <c r="O610" s="431">
        <f t="shared" si="416"/>
        <v>0.89876543209876536</v>
      </c>
      <c r="P610" s="431">
        <f t="shared" si="416"/>
        <v>0.89876543209876536</v>
      </c>
    </row>
    <row r="611" spans="1:16" x14ac:dyDescent="0.2">
      <c r="A611" s="409" t="s">
        <v>72</v>
      </c>
      <c r="B611" s="409"/>
      <c r="C611" s="409"/>
      <c r="D611" s="410" t="s">
        <v>30</v>
      </c>
      <c r="E611" s="431">
        <f t="shared" ref="E611:P611" si="417">IF(E608=0,0,IF(E583=1.1,IF(E598/E608*E607/60&gt;E566-E606,E566-E606,E598/E608*E607/60),E607/60))</f>
        <v>0</v>
      </c>
      <c r="F611" s="431">
        <f t="shared" si="417"/>
        <v>0.89876543209876536</v>
      </c>
      <c r="G611" s="431">
        <f t="shared" si="417"/>
        <v>0.89876543209876536</v>
      </c>
      <c r="H611" s="431">
        <f t="shared" si="417"/>
        <v>0.89876543209876536</v>
      </c>
      <c r="I611" s="431">
        <f t="shared" si="417"/>
        <v>0.89876543209876536</v>
      </c>
      <c r="J611" s="431">
        <f t="shared" si="417"/>
        <v>0.89876543209876536</v>
      </c>
      <c r="K611" s="431">
        <f t="shared" si="417"/>
        <v>0.89876543209876536</v>
      </c>
      <c r="L611" s="431">
        <f t="shared" si="417"/>
        <v>0.89876543209876536</v>
      </c>
      <c r="M611" s="431">
        <f t="shared" si="417"/>
        <v>0.89876543209876536</v>
      </c>
      <c r="N611" s="431">
        <f t="shared" si="417"/>
        <v>0.89876543209876536</v>
      </c>
      <c r="O611" s="431">
        <f t="shared" si="417"/>
        <v>0.89876543209876536</v>
      </c>
      <c r="P611" s="431">
        <f t="shared" si="417"/>
        <v>0.89876543209876536</v>
      </c>
    </row>
    <row r="612" spans="1:16" x14ac:dyDescent="0.2">
      <c r="A612" s="409" t="s">
        <v>73</v>
      </c>
      <c r="B612" s="409"/>
      <c r="C612" s="409"/>
      <c r="D612" s="410" t="s">
        <v>30</v>
      </c>
      <c r="E612" s="431">
        <f t="shared" ref="E612:P612" si="418">+E611+E606</f>
        <v>1.8333333333333333</v>
      </c>
      <c r="F612" s="431">
        <f t="shared" si="418"/>
        <v>2.7320987654320987</v>
      </c>
      <c r="G612" s="431">
        <f t="shared" si="418"/>
        <v>2.7320987654320987</v>
      </c>
      <c r="H612" s="431">
        <f t="shared" si="418"/>
        <v>2.7320987654320987</v>
      </c>
      <c r="I612" s="431">
        <f t="shared" si="418"/>
        <v>2.7320987654320987</v>
      </c>
      <c r="J612" s="431">
        <f t="shared" si="418"/>
        <v>2.7320987654320987</v>
      </c>
      <c r="K612" s="431">
        <f t="shared" si="418"/>
        <v>2.7320987654320987</v>
      </c>
      <c r="L612" s="431">
        <f t="shared" si="418"/>
        <v>2.7320987654320987</v>
      </c>
      <c r="M612" s="431">
        <f t="shared" si="418"/>
        <v>2.7320987654320987</v>
      </c>
      <c r="N612" s="431">
        <f t="shared" si="418"/>
        <v>2.7320987654320987</v>
      </c>
      <c r="O612" s="431">
        <f t="shared" si="418"/>
        <v>2.7320987654320987</v>
      </c>
      <c r="P612" s="431">
        <f t="shared" si="418"/>
        <v>2.7320987654320987</v>
      </c>
    </row>
    <row r="613" spans="1:16" x14ac:dyDescent="0.2">
      <c r="A613" s="409" t="s">
        <v>74</v>
      </c>
      <c r="B613" s="409">
        <f>B540</f>
        <v>0.5</v>
      </c>
      <c r="C613" s="409" t="s">
        <v>30</v>
      </c>
      <c r="D613" s="410" t="s">
        <v>30</v>
      </c>
      <c r="E613" s="430">
        <f>B613</f>
        <v>0.5</v>
      </c>
      <c r="F613" s="430">
        <f t="shared" ref="F613:P613" si="419">+E613</f>
        <v>0.5</v>
      </c>
      <c r="G613" s="430">
        <f t="shared" si="419"/>
        <v>0.5</v>
      </c>
      <c r="H613" s="430">
        <f t="shared" si="419"/>
        <v>0.5</v>
      </c>
      <c r="I613" s="430">
        <f t="shared" si="419"/>
        <v>0.5</v>
      </c>
      <c r="J613" s="430">
        <f t="shared" si="419"/>
        <v>0.5</v>
      </c>
      <c r="K613" s="430">
        <f t="shared" si="419"/>
        <v>0.5</v>
      </c>
      <c r="L613" s="430">
        <f t="shared" si="419"/>
        <v>0.5</v>
      </c>
      <c r="M613" s="430">
        <f t="shared" si="419"/>
        <v>0.5</v>
      </c>
      <c r="N613" s="430">
        <f t="shared" si="419"/>
        <v>0.5</v>
      </c>
      <c r="O613" s="430">
        <f t="shared" si="419"/>
        <v>0.5</v>
      </c>
      <c r="P613" s="430">
        <f t="shared" si="419"/>
        <v>0.5</v>
      </c>
    </row>
    <row r="614" spans="1:16" x14ac:dyDescent="0.2">
      <c r="A614" s="409" t="s">
        <v>75</v>
      </c>
      <c r="B614" s="409"/>
      <c r="C614" s="409"/>
      <c r="D614" s="410" t="s">
        <v>30</v>
      </c>
      <c r="E614" s="435">
        <f t="shared" ref="E614:P614" si="420">+E566*E567-E612</f>
        <v>38.166666666666664</v>
      </c>
      <c r="F614" s="435">
        <f t="shared" si="420"/>
        <v>37.267901234567901</v>
      </c>
      <c r="G614" s="435">
        <f t="shared" si="420"/>
        <v>37.267901234567901</v>
      </c>
      <c r="H614" s="435">
        <f t="shared" si="420"/>
        <v>37.267901234567901</v>
      </c>
      <c r="I614" s="435">
        <f t="shared" si="420"/>
        <v>37.267901234567901</v>
      </c>
      <c r="J614" s="435">
        <f t="shared" si="420"/>
        <v>37.267901234567901</v>
      </c>
      <c r="K614" s="435">
        <f t="shared" si="420"/>
        <v>37.267901234567901</v>
      </c>
      <c r="L614" s="435">
        <f t="shared" si="420"/>
        <v>37.267901234567901</v>
      </c>
      <c r="M614" s="435">
        <f t="shared" si="420"/>
        <v>37.267901234567901</v>
      </c>
      <c r="N614" s="435">
        <f t="shared" si="420"/>
        <v>37.267901234567901</v>
      </c>
      <c r="O614" s="435">
        <f t="shared" si="420"/>
        <v>37.267901234567901</v>
      </c>
      <c r="P614" s="435">
        <f t="shared" si="420"/>
        <v>37.267901234567901</v>
      </c>
    </row>
    <row r="615" spans="1:16" x14ac:dyDescent="0.2">
      <c r="A615" s="409" t="s">
        <v>76</v>
      </c>
      <c r="B615" s="409"/>
      <c r="C615" s="409"/>
      <c r="D615" s="410" t="s">
        <v>30</v>
      </c>
      <c r="E615" s="435">
        <f t="shared" ref="E615:P615" si="421">+IF(E614-E606&gt;E613,IF(E614-E606&gt;E611,E611,E614-E606),0)</f>
        <v>0</v>
      </c>
      <c r="F615" s="435">
        <f t="shared" si="421"/>
        <v>0.89876543209876536</v>
      </c>
      <c r="G615" s="435">
        <f t="shared" si="421"/>
        <v>0.89876543209876536</v>
      </c>
      <c r="H615" s="435">
        <f t="shared" si="421"/>
        <v>0.89876543209876536</v>
      </c>
      <c r="I615" s="435">
        <f t="shared" si="421"/>
        <v>0.89876543209876536</v>
      </c>
      <c r="J615" s="435">
        <f t="shared" si="421"/>
        <v>0.89876543209876536</v>
      </c>
      <c r="K615" s="435">
        <f t="shared" si="421"/>
        <v>0.89876543209876536</v>
      </c>
      <c r="L615" s="435">
        <f t="shared" si="421"/>
        <v>0.89876543209876536</v>
      </c>
      <c r="M615" s="435">
        <f t="shared" si="421"/>
        <v>0.89876543209876536</v>
      </c>
      <c r="N615" s="435">
        <f t="shared" si="421"/>
        <v>0.89876543209876536</v>
      </c>
      <c r="O615" s="435">
        <f t="shared" si="421"/>
        <v>0.89876543209876536</v>
      </c>
      <c r="P615" s="435">
        <f t="shared" si="421"/>
        <v>0.89876543209876536</v>
      </c>
    </row>
    <row r="616" spans="1:16" x14ac:dyDescent="0.2">
      <c r="A616" s="409" t="s">
        <v>77</v>
      </c>
      <c r="B616" s="409"/>
      <c r="C616" s="409"/>
      <c r="D616" s="410" t="s">
        <v>30</v>
      </c>
      <c r="E616" s="435">
        <f t="shared" ref="E616:P616" si="422">+IF(E615&gt;0,E614-E615-E606,0)</f>
        <v>0</v>
      </c>
      <c r="F616" s="435">
        <f t="shared" si="422"/>
        <v>34.535802469135803</v>
      </c>
      <c r="G616" s="435">
        <f t="shared" si="422"/>
        <v>34.535802469135803</v>
      </c>
      <c r="H616" s="435">
        <f t="shared" si="422"/>
        <v>34.535802469135803</v>
      </c>
      <c r="I616" s="435">
        <f t="shared" si="422"/>
        <v>34.535802469135803</v>
      </c>
      <c r="J616" s="435">
        <f t="shared" si="422"/>
        <v>34.535802469135803</v>
      </c>
      <c r="K616" s="435">
        <f t="shared" si="422"/>
        <v>34.535802469135803</v>
      </c>
      <c r="L616" s="435">
        <f t="shared" si="422"/>
        <v>34.535802469135803</v>
      </c>
      <c r="M616" s="435">
        <f t="shared" si="422"/>
        <v>34.535802469135803</v>
      </c>
      <c r="N616" s="435">
        <f t="shared" si="422"/>
        <v>34.535802469135803</v>
      </c>
      <c r="O616" s="435">
        <f t="shared" si="422"/>
        <v>34.535802469135803</v>
      </c>
      <c r="P616" s="435">
        <f t="shared" si="422"/>
        <v>34.535802469135803</v>
      </c>
    </row>
    <row r="617" spans="1:16" x14ac:dyDescent="0.2">
      <c r="A617" s="409" t="s">
        <v>76</v>
      </c>
      <c r="B617" s="409"/>
      <c r="C617" s="409"/>
      <c r="D617" s="410" t="s">
        <v>30</v>
      </c>
      <c r="E617" s="435">
        <f t="shared" ref="E617:P617" si="423">+IF(E616-E606&gt;E613,IF(E616-E606&gt;E611,E611,E616-E606),0)</f>
        <v>0</v>
      </c>
      <c r="F617" s="435">
        <f t="shared" si="423"/>
        <v>0.89876543209876536</v>
      </c>
      <c r="G617" s="435">
        <f t="shared" si="423"/>
        <v>0.89876543209876536</v>
      </c>
      <c r="H617" s="435">
        <f t="shared" si="423"/>
        <v>0.89876543209876536</v>
      </c>
      <c r="I617" s="435">
        <f t="shared" si="423"/>
        <v>0.89876543209876536</v>
      </c>
      <c r="J617" s="435">
        <f t="shared" si="423"/>
        <v>0.89876543209876536</v>
      </c>
      <c r="K617" s="435">
        <f t="shared" si="423"/>
        <v>0.89876543209876536</v>
      </c>
      <c r="L617" s="435">
        <f t="shared" si="423"/>
        <v>0.89876543209876536</v>
      </c>
      <c r="M617" s="435">
        <f t="shared" si="423"/>
        <v>0.89876543209876536</v>
      </c>
      <c r="N617" s="435">
        <f t="shared" si="423"/>
        <v>0.89876543209876536</v>
      </c>
      <c r="O617" s="435">
        <f t="shared" si="423"/>
        <v>0.89876543209876536</v>
      </c>
      <c r="P617" s="435">
        <f t="shared" si="423"/>
        <v>0.89876543209876536</v>
      </c>
    </row>
    <row r="618" spans="1:16" x14ac:dyDescent="0.2">
      <c r="A618" s="409" t="s">
        <v>78</v>
      </c>
      <c r="B618" s="409"/>
      <c r="C618" s="409"/>
      <c r="D618" s="410" t="s">
        <v>30</v>
      </c>
      <c r="E618" s="435">
        <f t="shared" ref="E618:P618" si="424">+IF(E617&gt;0,E616-E617-E606,0)</f>
        <v>0</v>
      </c>
      <c r="F618" s="435">
        <f t="shared" si="424"/>
        <v>31.803703703703707</v>
      </c>
      <c r="G618" s="435">
        <f t="shared" si="424"/>
        <v>31.803703703703707</v>
      </c>
      <c r="H618" s="435">
        <f t="shared" si="424"/>
        <v>31.803703703703707</v>
      </c>
      <c r="I618" s="435">
        <f t="shared" si="424"/>
        <v>31.803703703703707</v>
      </c>
      <c r="J618" s="435">
        <f t="shared" si="424"/>
        <v>31.803703703703707</v>
      </c>
      <c r="K618" s="435">
        <f t="shared" si="424"/>
        <v>31.803703703703707</v>
      </c>
      <c r="L618" s="435">
        <f t="shared" si="424"/>
        <v>31.803703703703707</v>
      </c>
      <c r="M618" s="435">
        <f t="shared" si="424"/>
        <v>31.803703703703707</v>
      </c>
      <c r="N618" s="435">
        <f t="shared" si="424"/>
        <v>31.803703703703707</v>
      </c>
      <c r="O618" s="435">
        <f t="shared" si="424"/>
        <v>31.803703703703707</v>
      </c>
      <c r="P618" s="435">
        <f t="shared" si="424"/>
        <v>31.803703703703707</v>
      </c>
    </row>
    <row r="619" spans="1:16" x14ac:dyDescent="0.2">
      <c r="A619" s="409" t="s">
        <v>76</v>
      </c>
      <c r="B619" s="409"/>
      <c r="C619" s="409"/>
      <c r="D619" s="410" t="s">
        <v>30</v>
      </c>
      <c r="E619" s="435">
        <f t="shared" ref="E619:P619" si="425">+IF(E618-E606&gt;E613,IF(E618-E606&gt;E611,E611,E618-E606),0)</f>
        <v>0</v>
      </c>
      <c r="F619" s="435">
        <f t="shared" si="425"/>
        <v>0.89876543209876536</v>
      </c>
      <c r="G619" s="435">
        <f t="shared" si="425"/>
        <v>0.89876543209876536</v>
      </c>
      <c r="H619" s="435">
        <f t="shared" si="425"/>
        <v>0.89876543209876536</v>
      </c>
      <c r="I619" s="435">
        <f t="shared" si="425"/>
        <v>0.89876543209876536</v>
      </c>
      <c r="J619" s="435">
        <f t="shared" si="425"/>
        <v>0.89876543209876536</v>
      </c>
      <c r="K619" s="435">
        <f t="shared" si="425"/>
        <v>0.89876543209876536</v>
      </c>
      <c r="L619" s="435">
        <f t="shared" si="425"/>
        <v>0.89876543209876536</v>
      </c>
      <c r="M619" s="435">
        <f t="shared" si="425"/>
        <v>0.89876543209876536</v>
      </c>
      <c r="N619" s="435">
        <f t="shared" si="425"/>
        <v>0.89876543209876536</v>
      </c>
      <c r="O619" s="435">
        <f t="shared" si="425"/>
        <v>0.89876543209876536</v>
      </c>
      <c r="P619" s="435">
        <f t="shared" si="425"/>
        <v>0.89876543209876536</v>
      </c>
    </row>
    <row r="620" spans="1:16" x14ac:dyDescent="0.2">
      <c r="A620" s="409" t="s">
        <v>79</v>
      </c>
      <c r="B620" s="409"/>
      <c r="C620" s="409"/>
      <c r="D620" s="410" t="s">
        <v>30</v>
      </c>
      <c r="E620" s="435">
        <f t="shared" ref="E620:P620" si="426">+IF(E619&gt;0,E618-E619-E606,0)</f>
        <v>0</v>
      </c>
      <c r="F620" s="435">
        <f t="shared" si="426"/>
        <v>29.071604938271609</v>
      </c>
      <c r="G620" s="435">
        <f t="shared" si="426"/>
        <v>29.071604938271609</v>
      </c>
      <c r="H620" s="435">
        <f t="shared" si="426"/>
        <v>29.071604938271609</v>
      </c>
      <c r="I620" s="435">
        <f t="shared" si="426"/>
        <v>29.071604938271609</v>
      </c>
      <c r="J620" s="435">
        <f t="shared" si="426"/>
        <v>29.071604938271609</v>
      </c>
      <c r="K620" s="435">
        <f t="shared" si="426"/>
        <v>29.071604938271609</v>
      </c>
      <c r="L620" s="435">
        <f t="shared" si="426"/>
        <v>29.071604938271609</v>
      </c>
      <c r="M620" s="435">
        <f t="shared" si="426"/>
        <v>29.071604938271609</v>
      </c>
      <c r="N620" s="435">
        <f t="shared" si="426"/>
        <v>29.071604938271609</v>
      </c>
      <c r="O620" s="435">
        <f t="shared" si="426"/>
        <v>29.071604938271609</v>
      </c>
      <c r="P620" s="435">
        <f t="shared" si="426"/>
        <v>29.071604938271609</v>
      </c>
    </row>
    <row r="621" spans="1:16" x14ac:dyDescent="0.2">
      <c r="A621" s="409" t="s">
        <v>76</v>
      </c>
      <c r="B621" s="409"/>
      <c r="C621" s="409"/>
      <c r="D621" s="410" t="s">
        <v>30</v>
      </c>
      <c r="E621" s="435">
        <f t="shared" ref="E621:P621" si="427">+IF(E620-E606&gt;E613,IF(E620-E606&gt;E611,E611,E620-E606),0)</f>
        <v>0</v>
      </c>
      <c r="F621" s="435">
        <f t="shared" si="427"/>
        <v>0.89876543209876536</v>
      </c>
      <c r="G621" s="435">
        <f t="shared" si="427"/>
        <v>0.89876543209876536</v>
      </c>
      <c r="H621" s="435">
        <f t="shared" si="427"/>
        <v>0.89876543209876536</v>
      </c>
      <c r="I621" s="435">
        <f t="shared" si="427"/>
        <v>0.89876543209876536</v>
      </c>
      <c r="J621" s="435">
        <f t="shared" si="427"/>
        <v>0.89876543209876536</v>
      </c>
      <c r="K621" s="435">
        <f t="shared" si="427"/>
        <v>0.89876543209876536</v>
      </c>
      <c r="L621" s="435">
        <f t="shared" si="427"/>
        <v>0.89876543209876536</v>
      </c>
      <c r="M621" s="435">
        <f t="shared" si="427"/>
        <v>0.89876543209876536</v>
      </c>
      <c r="N621" s="435">
        <f t="shared" si="427"/>
        <v>0.89876543209876536</v>
      </c>
      <c r="O621" s="435">
        <f t="shared" si="427"/>
        <v>0.89876543209876536</v>
      </c>
      <c r="P621" s="435">
        <f t="shared" si="427"/>
        <v>0.89876543209876536</v>
      </c>
    </row>
    <row r="622" spans="1:16" x14ac:dyDescent="0.2">
      <c r="A622" s="409"/>
      <c r="B622" s="409"/>
      <c r="C622" s="409"/>
      <c r="D622" s="410"/>
      <c r="E622" s="431"/>
      <c r="F622" s="431"/>
      <c r="G622" s="431"/>
      <c r="H622" s="431"/>
      <c r="I622" s="431"/>
      <c r="J622" s="431"/>
      <c r="K622" s="431"/>
      <c r="L622" s="431"/>
      <c r="M622" s="431"/>
      <c r="N622" s="431"/>
      <c r="O622" s="431"/>
      <c r="P622" s="431"/>
    </row>
    <row r="623" spans="1:16" x14ac:dyDescent="0.2">
      <c r="A623" s="409" t="s">
        <v>80</v>
      </c>
      <c r="B623" s="409"/>
      <c r="C623" s="409"/>
      <c r="D623" s="410" t="s">
        <v>81</v>
      </c>
      <c r="E623" s="431">
        <f t="shared" ref="E623:P623" si="428">IF(E610=0,0,+(E621+E619+E617+E615+E611)/E610)</f>
        <v>0</v>
      </c>
      <c r="F623" s="431">
        <f t="shared" si="428"/>
        <v>5</v>
      </c>
      <c r="G623" s="431">
        <f t="shared" si="428"/>
        <v>5</v>
      </c>
      <c r="H623" s="431">
        <f t="shared" si="428"/>
        <v>5</v>
      </c>
      <c r="I623" s="431">
        <f t="shared" si="428"/>
        <v>5</v>
      </c>
      <c r="J623" s="431">
        <f t="shared" si="428"/>
        <v>5</v>
      </c>
      <c r="K623" s="431">
        <f t="shared" si="428"/>
        <v>5</v>
      </c>
      <c r="L623" s="431">
        <f t="shared" si="428"/>
        <v>5</v>
      </c>
      <c r="M623" s="431">
        <f t="shared" si="428"/>
        <v>5</v>
      </c>
      <c r="N623" s="431">
        <f t="shared" si="428"/>
        <v>5</v>
      </c>
      <c r="O623" s="431">
        <f t="shared" si="428"/>
        <v>5</v>
      </c>
      <c r="P623" s="431">
        <f t="shared" si="428"/>
        <v>5</v>
      </c>
    </row>
    <row r="624" spans="1:16" x14ac:dyDescent="0.2">
      <c r="A624" s="409" t="s">
        <v>147</v>
      </c>
      <c r="B624" s="409"/>
      <c r="C624" s="409"/>
      <c r="D624" s="410" t="s">
        <v>82</v>
      </c>
      <c r="E624" s="431">
        <f t="shared" ref="E624:P624" si="429">IF(E583=1.1,+E623*E598,E623*E589)</f>
        <v>0</v>
      </c>
      <c r="F624" s="431">
        <f t="shared" si="429"/>
        <v>14.875</v>
      </c>
      <c r="G624" s="431">
        <f t="shared" si="429"/>
        <v>14.875</v>
      </c>
      <c r="H624" s="431">
        <f t="shared" si="429"/>
        <v>14.875</v>
      </c>
      <c r="I624" s="431">
        <f t="shared" si="429"/>
        <v>14.875</v>
      </c>
      <c r="J624" s="431">
        <f t="shared" si="429"/>
        <v>14.875</v>
      </c>
      <c r="K624" s="431">
        <f t="shared" si="429"/>
        <v>14.875</v>
      </c>
      <c r="L624" s="431">
        <f t="shared" si="429"/>
        <v>14.875</v>
      </c>
      <c r="M624" s="431">
        <f t="shared" si="429"/>
        <v>14.875</v>
      </c>
      <c r="N624" s="431">
        <f t="shared" si="429"/>
        <v>14.875</v>
      </c>
      <c r="O624" s="431">
        <f t="shared" si="429"/>
        <v>14.875</v>
      </c>
      <c r="P624" s="431">
        <f t="shared" si="429"/>
        <v>14.875</v>
      </c>
    </row>
    <row r="625" spans="1:16" x14ac:dyDescent="0.2">
      <c r="A625" s="409"/>
      <c r="B625" s="409"/>
      <c r="C625" s="409"/>
      <c r="D625" s="410"/>
      <c r="E625" s="422"/>
      <c r="F625" s="422"/>
      <c r="G625" s="422"/>
      <c r="H625" s="422"/>
      <c r="I625" s="422"/>
      <c r="J625" s="422"/>
      <c r="K625" s="422"/>
      <c r="L625" s="422"/>
      <c r="M625" s="422"/>
      <c r="N625" s="422"/>
      <c r="O625" s="422"/>
      <c r="P625" s="422"/>
    </row>
    <row r="626" spans="1:16" x14ac:dyDescent="0.2">
      <c r="A626" s="414" t="s">
        <v>52</v>
      </c>
      <c r="B626" s="414"/>
      <c r="C626" s="414"/>
      <c r="D626" s="410"/>
      <c r="E626" s="417"/>
      <c r="F626" s="417"/>
      <c r="G626" s="417"/>
      <c r="H626" s="417"/>
      <c r="I626" s="417"/>
      <c r="J626" s="417"/>
      <c r="K626" s="417"/>
      <c r="L626" s="411"/>
      <c r="M626" s="411"/>
      <c r="N626" s="411"/>
      <c r="O626" s="411"/>
      <c r="P626" s="409"/>
    </row>
    <row r="627" spans="1:16" x14ac:dyDescent="0.2">
      <c r="A627" s="409" t="str">
        <f>A554</f>
        <v>Необходими автомобили за събиране, включително резерви</v>
      </c>
      <c r="B627" s="409"/>
      <c r="C627" s="409"/>
      <c r="D627" s="410" t="s">
        <v>84</v>
      </c>
      <c r="E627" s="430">
        <f t="shared" ref="E627:P627" si="430">E628/E599</f>
        <v>0</v>
      </c>
      <c r="F627" s="430">
        <f t="shared" si="430"/>
        <v>7.2605042016806717E-2</v>
      </c>
      <c r="G627" s="430">
        <f t="shared" si="430"/>
        <v>7.2605042016806717E-2</v>
      </c>
      <c r="H627" s="430">
        <f t="shared" si="430"/>
        <v>7.2605042016806717E-2</v>
      </c>
      <c r="I627" s="430">
        <f t="shared" si="430"/>
        <v>7.2605042016806717E-2</v>
      </c>
      <c r="J627" s="430">
        <f t="shared" si="430"/>
        <v>7.2605042016806717E-2</v>
      </c>
      <c r="K627" s="430">
        <f t="shared" si="430"/>
        <v>7.2605042016806717E-2</v>
      </c>
      <c r="L627" s="430">
        <f t="shared" si="430"/>
        <v>7.2605042016806717E-2</v>
      </c>
      <c r="M627" s="430">
        <f t="shared" si="430"/>
        <v>7.2605042016806717E-2</v>
      </c>
      <c r="N627" s="430">
        <f t="shared" si="430"/>
        <v>7.2605042016806717E-2</v>
      </c>
      <c r="O627" s="430">
        <f t="shared" si="430"/>
        <v>7.2605042016806717E-2</v>
      </c>
      <c r="P627" s="430">
        <f t="shared" si="430"/>
        <v>7.2605042016806717E-2</v>
      </c>
    </row>
    <row r="628" spans="1:16" x14ac:dyDescent="0.2">
      <c r="A628" s="409" t="str">
        <f>A555</f>
        <v>Автомобили за събиране в действие</v>
      </c>
      <c r="B628" s="414"/>
      <c r="C628" s="414"/>
      <c r="D628" s="410" t="s">
        <v>84</v>
      </c>
      <c r="E628" s="430">
        <f t="shared" ref="E628:P628" si="431">IF(E624=0,0,E563/E576/E624)</f>
        <v>0</v>
      </c>
      <c r="F628" s="430">
        <f t="shared" si="431"/>
        <v>6.1714285714285708E-2</v>
      </c>
      <c r="G628" s="430">
        <f t="shared" si="431"/>
        <v>6.1714285714285708E-2</v>
      </c>
      <c r="H628" s="430">
        <f t="shared" si="431"/>
        <v>6.1714285714285708E-2</v>
      </c>
      <c r="I628" s="430">
        <f t="shared" si="431"/>
        <v>6.1714285714285708E-2</v>
      </c>
      <c r="J628" s="430">
        <f t="shared" si="431"/>
        <v>6.1714285714285708E-2</v>
      </c>
      <c r="K628" s="430">
        <f t="shared" si="431"/>
        <v>6.1714285714285708E-2</v>
      </c>
      <c r="L628" s="430">
        <f t="shared" si="431"/>
        <v>6.1714285714285708E-2</v>
      </c>
      <c r="M628" s="430">
        <f t="shared" si="431"/>
        <v>6.1714285714285708E-2</v>
      </c>
      <c r="N628" s="430">
        <f t="shared" si="431"/>
        <v>6.1714285714285708E-2</v>
      </c>
      <c r="O628" s="430">
        <f t="shared" si="431"/>
        <v>6.1714285714285708E-2</v>
      </c>
      <c r="P628" s="430">
        <f t="shared" si="431"/>
        <v>6.1714285714285708E-2</v>
      </c>
    </row>
    <row r="629" spans="1:16" x14ac:dyDescent="0.2">
      <c r="A629" s="409" t="str">
        <f>A556</f>
        <v>Необходим брой нови автомобили за събиране</v>
      </c>
      <c r="B629" s="436"/>
      <c r="C629" s="409"/>
      <c r="D629" s="410" t="s">
        <v>84</v>
      </c>
      <c r="E629" s="437">
        <f t="shared" ref="E629:P629" si="432">+ROUNDUP(E627,1)</f>
        <v>0</v>
      </c>
      <c r="F629" s="437">
        <f t="shared" si="432"/>
        <v>0.1</v>
      </c>
      <c r="G629" s="437">
        <f t="shared" si="432"/>
        <v>0.1</v>
      </c>
      <c r="H629" s="437">
        <f t="shared" si="432"/>
        <v>0.1</v>
      </c>
      <c r="I629" s="437">
        <f t="shared" si="432"/>
        <v>0.1</v>
      </c>
      <c r="J629" s="437">
        <f t="shared" si="432"/>
        <v>0.1</v>
      </c>
      <c r="K629" s="437">
        <f t="shared" si="432"/>
        <v>0.1</v>
      </c>
      <c r="L629" s="437">
        <f t="shared" si="432"/>
        <v>0.1</v>
      </c>
      <c r="M629" s="437">
        <f t="shared" si="432"/>
        <v>0.1</v>
      </c>
      <c r="N629" s="437">
        <f t="shared" si="432"/>
        <v>0.1</v>
      </c>
      <c r="O629" s="437">
        <f t="shared" si="432"/>
        <v>0.1</v>
      </c>
      <c r="P629" s="437">
        <f t="shared" si="432"/>
        <v>0.1</v>
      </c>
    </row>
    <row r="630" spans="1:16" x14ac:dyDescent="0.2">
      <c r="D630" s="359"/>
    </row>
    <row r="631" spans="1:16" x14ac:dyDescent="0.2">
      <c r="A631" s="2" t="s">
        <v>223</v>
      </c>
      <c r="D631" s="359"/>
      <c r="E631" s="94"/>
      <c r="F631" s="94"/>
      <c r="G631" s="94"/>
      <c r="H631" s="94"/>
      <c r="I631" s="94"/>
      <c r="J631" s="94"/>
      <c r="K631" s="94"/>
      <c r="L631" s="94"/>
      <c r="M631" s="94"/>
      <c r="N631" s="94"/>
      <c r="O631" s="94"/>
      <c r="P631" s="94"/>
    </row>
    <row r="632" spans="1:16" x14ac:dyDescent="0.2">
      <c r="A632" s="54" t="s">
        <v>83</v>
      </c>
      <c r="D632" s="359"/>
      <c r="E632" s="91">
        <f t="shared" ref="E632:P632" si="433">E627+E554</f>
        <v>0</v>
      </c>
      <c r="F632" s="91">
        <f t="shared" si="433"/>
        <v>1.0453109243697478</v>
      </c>
      <c r="G632" s="91">
        <f t="shared" si="433"/>
        <v>1.0453109243697478</v>
      </c>
      <c r="H632" s="91">
        <f t="shared" si="433"/>
        <v>1.0453109243697478</v>
      </c>
      <c r="I632" s="91">
        <f t="shared" si="433"/>
        <v>1.0453109243697478</v>
      </c>
      <c r="J632" s="91">
        <f t="shared" si="433"/>
        <v>1.0453109243697478</v>
      </c>
      <c r="K632" s="91">
        <f t="shared" si="433"/>
        <v>1.0453109243697478</v>
      </c>
      <c r="L632" s="91">
        <f t="shared" si="433"/>
        <v>1.0453109243697478</v>
      </c>
      <c r="M632" s="91">
        <f t="shared" si="433"/>
        <v>1.0453109243697478</v>
      </c>
      <c r="N632" s="91">
        <f t="shared" si="433"/>
        <v>1.0453109243697478</v>
      </c>
      <c r="O632" s="91">
        <f t="shared" si="433"/>
        <v>1.0453109243697478</v>
      </c>
      <c r="P632" s="91">
        <f t="shared" si="433"/>
        <v>1.0453109243697478</v>
      </c>
    </row>
    <row r="633" spans="1:16" x14ac:dyDescent="0.2">
      <c r="A633" s="54" t="s">
        <v>116</v>
      </c>
      <c r="D633" s="359"/>
      <c r="E633" s="91">
        <f>E628+E555</f>
        <v>0</v>
      </c>
      <c r="F633" s="91">
        <f t="shared" ref="F633:P633" si="434">F628+F555</f>
        <v>0.8885142857142857</v>
      </c>
      <c r="G633" s="91">
        <f t="shared" si="434"/>
        <v>0.8885142857142857</v>
      </c>
      <c r="H633" s="91">
        <f t="shared" si="434"/>
        <v>0.8885142857142857</v>
      </c>
      <c r="I633" s="91">
        <f t="shared" si="434"/>
        <v>0.8885142857142857</v>
      </c>
      <c r="J633" s="91">
        <f t="shared" si="434"/>
        <v>0.8885142857142857</v>
      </c>
      <c r="K633" s="91">
        <f t="shared" si="434"/>
        <v>0.8885142857142857</v>
      </c>
      <c r="L633" s="91">
        <f t="shared" si="434"/>
        <v>0.8885142857142857</v>
      </c>
      <c r="M633" s="91">
        <f t="shared" si="434"/>
        <v>0.8885142857142857</v>
      </c>
      <c r="N633" s="91">
        <f t="shared" si="434"/>
        <v>0.8885142857142857</v>
      </c>
      <c r="O633" s="91">
        <f t="shared" si="434"/>
        <v>0.8885142857142857</v>
      </c>
      <c r="P633" s="91">
        <f t="shared" si="434"/>
        <v>0.8885142857142857</v>
      </c>
    </row>
    <row r="634" spans="1:16" x14ac:dyDescent="0.2">
      <c r="A634" s="54" t="s">
        <v>113</v>
      </c>
      <c r="D634" s="359"/>
      <c r="E634" s="91">
        <f>ROUNDUP(E632,0)</f>
        <v>0</v>
      </c>
      <c r="F634" s="91">
        <f t="shared" ref="F634:P634" si="435">ROUNDUP(F632,0)</f>
        <v>2</v>
      </c>
      <c r="G634" s="91">
        <f t="shared" si="435"/>
        <v>2</v>
      </c>
      <c r="H634" s="91">
        <f t="shared" si="435"/>
        <v>2</v>
      </c>
      <c r="I634" s="91">
        <f t="shared" si="435"/>
        <v>2</v>
      </c>
      <c r="J634" s="91">
        <f t="shared" si="435"/>
        <v>2</v>
      </c>
      <c r="K634" s="91">
        <f t="shared" si="435"/>
        <v>2</v>
      </c>
      <c r="L634" s="91">
        <f t="shared" si="435"/>
        <v>2</v>
      </c>
      <c r="M634" s="91">
        <f t="shared" si="435"/>
        <v>2</v>
      </c>
      <c r="N634" s="91">
        <f t="shared" si="435"/>
        <v>2</v>
      </c>
      <c r="O634" s="91">
        <f t="shared" si="435"/>
        <v>2</v>
      </c>
      <c r="P634" s="91">
        <f t="shared" si="435"/>
        <v>2</v>
      </c>
    </row>
    <row r="635" spans="1:16" x14ac:dyDescent="0.2">
      <c r="D635" s="359"/>
    </row>
    <row r="636" spans="1:16" x14ac:dyDescent="0.2">
      <c r="D636" s="359"/>
    </row>
    <row r="637" spans="1:16" x14ac:dyDescent="0.2">
      <c r="A637" s="82"/>
      <c r="D637" s="359"/>
      <c r="E637" s="88"/>
      <c r="F637" s="88"/>
      <c r="G637" s="88"/>
      <c r="H637" s="88"/>
      <c r="I637" s="88"/>
      <c r="J637" s="88"/>
      <c r="K637" s="88"/>
      <c r="L637" s="88"/>
      <c r="M637" s="88"/>
      <c r="N637" s="88"/>
      <c r="O637" s="88"/>
      <c r="P637" s="88"/>
    </row>
    <row r="638" spans="1:16" x14ac:dyDescent="0.2">
      <c r="D638" s="359"/>
      <c r="E638" s="91"/>
      <c r="F638" s="91"/>
      <c r="G638" s="91"/>
      <c r="H638" s="91"/>
      <c r="I638" s="91"/>
      <c r="J638" s="91"/>
      <c r="K638" s="91"/>
      <c r="L638" s="91"/>
      <c r="M638" s="91"/>
      <c r="N638" s="91"/>
      <c r="O638" s="91"/>
      <c r="P638" s="91"/>
    </row>
    <row r="639" spans="1:16" x14ac:dyDescent="0.2">
      <c r="D639" s="359"/>
      <c r="E639" s="91"/>
      <c r="F639" s="91"/>
      <c r="G639" s="91"/>
      <c r="H639" s="91"/>
      <c r="I639" s="91"/>
      <c r="J639" s="91"/>
      <c r="K639" s="91"/>
      <c r="L639" s="91"/>
      <c r="M639" s="91"/>
      <c r="N639" s="91"/>
      <c r="O639" s="91"/>
      <c r="P639" s="91"/>
    </row>
    <row r="640" spans="1:16" x14ac:dyDescent="0.2">
      <c r="D640" s="359"/>
      <c r="E640" s="88"/>
      <c r="F640" s="88"/>
      <c r="G640" s="88"/>
      <c r="H640" s="88"/>
      <c r="I640" s="88"/>
      <c r="J640" s="88"/>
      <c r="K640" s="88"/>
      <c r="L640" s="88"/>
      <c r="M640" s="88"/>
      <c r="N640" s="88"/>
      <c r="O640" s="88"/>
      <c r="P640" s="88"/>
    </row>
    <row r="641" spans="4:4" x14ac:dyDescent="0.2">
      <c r="D641" s="359"/>
    </row>
    <row r="642" spans="4:4" x14ac:dyDescent="0.2">
      <c r="D642" s="359"/>
    </row>
    <row r="643" spans="4:4" x14ac:dyDescent="0.2">
      <c r="D643" s="359"/>
    </row>
    <row r="644" spans="4:4" x14ac:dyDescent="0.2">
      <c r="D644" s="359"/>
    </row>
    <row r="645" spans="4:4" x14ac:dyDescent="0.2">
      <c r="D645" s="359"/>
    </row>
    <row r="646" spans="4:4" x14ac:dyDescent="0.2">
      <c r="D646" s="359"/>
    </row>
    <row r="647" spans="4:4" x14ac:dyDescent="0.2">
      <c r="D647" s="359"/>
    </row>
    <row r="648" spans="4:4" x14ac:dyDescent="0.2">
      <c r="D648" s="359"/>
    </row>
    <row r="649" spans="4:4" x14ac:dyDescent="0.2">
      <c r="D649" s="359"/>
    </row>
    <row r="650" spans="4:4" x14ac:dyDescent="0.2">
      <c r="D650" s="359"/>
    </row>
    <row r="651" spans="4:4" x14ac:dyDescent="0.2">
      <c r="D651" s="359"/>
    </row>
    <row r="652" spans="4:4" x14ac:dyDescent="0.2">
      <c r="D652" s="359"/>
    </row>
    <row r="653" spans="4:4" x14ac:dyDescent="0.2">
      <c r="D653" s="359"/>
    </row>
    <row r="654" spans="4:4" x14ac:dyDescent="0.2">
      <c r="D654" s="359"/>
    </row>
    <row r="655" spans="4:4" x14ac:dyDescent="0.2">
      <c r="D655" s="359"/>
    </row>
    <row r="656" spans="4:4" x14ac:dyDescent="0.2">
      <c r="D656" s="359"/>
    </row>
    <row r="657" spans="4:4" x14ac:dyDescent="0.2">
      <c r="D657" s="359"/>
    </row>
    <row r="658" spans="4:4" x14ac:dyDescent="0.2">
      <c r="D658" s="359"/>
    </row>
    <row r="659" spans="4:4" x14ac:dyDescent="0.2">
      <c r="D659" s="359"/>
    </row>
    <row r="660" spans="4:4" x14ac:dyDescent="0.2">
      <c r="D660" s="359"/>
    </row>
    <row r="661" spans="4:4" x14ac:dyDescent="0.2">
      <c r="D661" s="359"/>
    </row>
    <row r="662" spans="4:4" x14ac:dyDescent="0.2">
      <c r="D662" s="359"/>
    </row>
    <row r="663" spans="4:4" x14ac:dyDescent="0.2">
      <c r="D663" s="359"/>
    </row>
    <row r="664" spans="4:4" x14ac:dyDescent="0.2">
      <c r="D664" s="359"/>
    </row>
    <row r="665" spans="4:4" x14ac:dyDescent="0.2">
      <c r="D665" s="359"/>
    </row>
    <row r="666" spans="4:4" x14ac:dyDescent="0.2">
      <c r="D666" s="359"/>
    </row>
    <row r="667" spans="4:4" x14ac:dyDescent="0.2">
      <c r="D667" s="359"/>
    </row>
    <row r="668" spans="4:4" x14ac:dyDescent="0.2">
      <c r="D668" s="359"/>
    </row>
    <row r="669" spans="4:4" x14ac:dyDescent="0.2">
      <c r="D669" s="359"/>
    </row>
    <row r="670" spans="4:4" x14ac:dyDescent="0.2">
      <c r="D670" s="359"/>
    </row>
    <row r="671" spans="4:4" x14ac:dyDescent="0.2">
      <c r="D671" s="359"/>
    </row>
    <row r="672" spans="4:4" x14ac:dyDescent="0.2">
      <c r="D672" s="359"/>
    </row>
    <row r="673" spans="4:4" x14ac:dyDescent="0.2">
      <c r="D673" s="359"/>
    </row>
    <row r="674" spans="4:4" x14ac:dyDescent="0.2">
      <c r="D674" s="359"/>
    </row>
    <row r="675" spans="4:4" x14ac:dyDescent="0.2">
      <c r="D675" s="359"/>
    </row>
    <row r="676" spans="4:4" x14ac:dyDescent="0.2">
      <c r="D676" s="359"/>
    </row>
    <row r="677" spans="4:4" x14ac:dyDescent="0.2">
      <c r="D677" s="359"/>
    </row>
    <row r="678" spans="4:4" x14ac:dyDescent="0.2">
      <c r="D678" s="359"/>
    </row>
    <row r="679" spans="4:4" x14ac:dyDescent="0.2">
      <c r="D679" s="359"/>
    </row>
    <row r="680" spans="4:4" x14ac:dyDescent="0.2">
      <c r="D680" s="359"/>
    </row>
    <row r="681" spans="4:4" x14ac:dyDescent="0.2">
      <c r="D681" s="359"/>
    </row>
    <row r="682" spans="4:4" x14ac:dyDescent="0.2">
      <c r="D682" s="359"/>
    </row>
    <row r="683" spans="4:4" x14ac:dyDescent="0.2">
      <c r="D683" s="359"/>
    </row>
    <row r="684" spans="4:4" x14ac:dyDescent="0.2">
      <c r="D684" s="359"/>
    </row>
    <row r="685" spans="4:4" x14ac:dyDescent="0.2">
      <c r="D685" s="359"/>
    </row>
    <row r="686" spans="4:4" x14ac:dyDescent="0.2">
      <c r="D686" s="359"/>
    </row>
    <row r="687" spans="4:4" x14ac:dyDescent="0.2">
      <c r="D687" s="359"/>
    </row>
    <row r="688" spans="4:4" x14ac:dyDescent="0.2">
      <c r="D688" s="359"/>
    </row>
    <row r="689" spans="4:4" x14ac:dyDescent="0.2">
      <c r="D689" s="359"/>
    </row>
    <row r="690" spans="4:4" x14ac:dyDescent="0.2">
      <c r="D690" s="359"/>
    </row>
    <row r="691" spans="4:4" x14ac:dyDescent="0.2">
      <c r="D691" s="359"/>
    </row>
    <row r="692" spans="4:4" x14ac:dyDescent="0.2">
      <c r="D692" s="359"/>
    </row>
    <row r="693" spans="4:4" x14ac:dyDescent="0.2">
      <c r="D693" s="359"/>
    </row>
    <row r="694" spans="4:4" x14ac:dyDescent="0.2">
      <c r="D694" s="359"/>
    </row>
    <row r="695" spans="4:4" x14ac:dyDescent="0.2">
      <c r="D695" s="359"/>
    </row>
    <row r="696" spans="4:4" x14ac:dyDescent="0.2">
      <c r="D696" s="359"/>
    </row>
    <row r="697" spans="4:4" x14ac:dyDescent="0.2">
      <c r="D697" s="359"/>
    </row>
    <row r="698" spans="4:4" x14ac:dyDescent="0.2">
      <c r="D698" s="359"/>
    </row>
    <row r="699" spans="4:4" x14ac:dyDescent="0.2">
      <c r="D699" s="359"/>
    </row>
    <row r="700" spans="4:4" x14ac:dyDescent="0.2">
      <c r="D700" s="359"/>
    </row>
    <row r="701" spans="4:4" x14ac:dyDescent="0.2">
      <c r="D701" s="359"/>
    </row>
    <row r="702" spans="4:4" x14ac:dyDescent="0.2">
      <c r="D702" s="359"/>
    </row>
    <row r="703" spans="4:4" x14ac:dyDescent="0.2">
      <c r="D703" s="359"/>
    </row>
    <row r="704" spans="4:4" x14ac:dyDescent="0.2">
      <c r="D704" s="359"/>
    </row>
    <row r="705" spans="4:4" x14ac:dyDescent="0.2">
      <c r="D705" s="359"/>
    </row>
    <row r="706" spans="4:4" x14ac:dyDescent="0.2">
      <c r="D706" s="359"/>
    </row>
    <row r="707" spans="4:4" x14ac:dyDescent="0.2">
      <c r="D707" s="359"/>
    </row>
    <row r="708" spans="4:4" x14ac:dyDescent="0.2">
      <c r="D708" s="359"/>
    </row>
    <row r="709" spans="4:4" x14ac:dyDescent="0.2">
      <c r="D709" s="359"/>
    </row>
    <row r="710" spans="4:4" x14ac:dyDescent="0.2">
      <c r="D710" s="359"/>
    </row>
    <row r="711" spans="4:4" x14ac:dyDescent="0.2">
      <c r="D711" s="359"/>
    </row>
    <row r="712" spans="4:4" x14ac:dyDescent="0.2">
      <c r="D712" s="359"/>
    </row>
    <row r="713" spans="4:4" x14ac:dyDescent="0.2">
      <c r="D713" s="359"/>
    </row>
    <row r="714" spans="4:4" x14ac:dyDescent="0.2">
      <c r="D714" s="359"/>
    </row>
    <row r="715" spans="4:4" x14ac:dyDescent="0.2">
      <c r="D715" s="359"/>
    </row>
    <row r="716" spans="4:4" x14ac:dyDescent="0.2">
      <c r="D716" s="359"/>
    </row>
    <row r="717" spans="4:4" x14ac:dyDescent="0.2">
      <c r="D717" s="359"/>
    </row>
    <row r="718" spans="4:4" x14ac:dyDescent="0.2">
      <c r="D718" s="359"/>
    </row>
    <row r="719" spans="4:4" x14ac:dyDescent="0.2">
      <c r="D719" s="359"/>
    </row>
    <row r="720" spans="4:4" x14ac:dyDescent="0.2">
      <c r="D720" s="359"/>
    </row>
    <row r="721" spans="4:4" x14ac:dyDescent="0.2">
      <c r="D721" s="359"/>
    </row>
    <row r="722" spans="4:4" x14ac:dyDescent="0.2">
      <c r="D722" s="359"/>
    </row>
    <row r="723" spans="4:4" x14ac:dyDescent="0.2">
      <c r="D723" s="359"/>
    </row>
    <row r="724" spans="4:4" x14ac:dyDescent="0.2">
      <c r="D724" s="359"/>
    </row>
    <row r="725" spans="4:4" x14ac:dyDescent="0.2">
      <c r="D725" s="359"/>
    </row>
    <row r="726" spans="4:4" x14ac:dyDescent="0.2">
      <c r="D726" s="359"/>
    </row>
    <row r="727" spans="4:4" x14ac:dyDescent="0.2">
      <c r="D727" s="359"/>
    </row>
    <row r="728" spans="4:4" x14ac:dyDescent="0.2">
      <c r="D728" s="359"/>
    </row>
    <row r="729" spans="4:4" x14ac:dyDescent="0.2">
      <c r="D729" s="359"/>
    </row>
    <row r="730" spans="4:4" x14ac:dyDescent="0.2">
      <c r="D730" s="359"/>
    </row>
    <row r="731" spans="4:4" x14ac:dyDescent="0.2">
      <c r="D731" s="359"/>
    </row>
    <row r="732" spans="4:4" x14ac:dyDescent="0.2">
      <c r="D732" s="359"/>
    </row>
    <row r="733" spans="4:4" x14ac:dyDescent="0.2">
      <c r="D733" s="359"/>
    </row>
    <row r="734" spans="4:4" x14ac:dyDescent="0.2">
      <c r="D734" s="359"/>
    </row>
    <row r="735" spans="4:4" x14ac:dyDescent="0.2">
      <c r="D735" s="359"/>
    </row>
    <row r="736" spans="4:4" x14ac:dyDescent="0.2">
      <c r="D736" s="359"/>
    </row>
    <row r="737" spans="4:4" x14ac:dyDescent="0.2">
      <c r="D737" s="359"/>
    </row>
    <row r="738" spans="4:4" x14ac:dyDescent="0.2">
      <c r="D738" s="359"/>
    </row>
    <row r="739" spans="4:4" x14ac:dyDescent="0.2">
      <c r="D739" s="359"/>
    </row>
    <row r="740" spans="4:4" x14ac:dyDescent="0.2">
      <c r="D740" s="359"/>
    </row>
    <row r="741" spans="4:4" x14ac:dyDescent="0.2">
      <c r="D741" s="359"/>
    </row>
    <row r="742" spans="4:4" x14ac:dyDescent="0.2">
      <c r="D742" s="359"/>
    </row>
    <row r="743" spans="4:4" x14ac:dyDescent="0.2">
      <c r="D743" s="359"/>
    </row>
    <row r="744" spans="4:4" x14ac:dyDescent="0.2">
      <c r="D744" s="359"/>
    </row>
    <row r="745" spans="4:4" x14ac:dyDescent="0.2">
      <c r="D745" s="359"/>
    </row>
    <row r="746" spans="4:4" x14ac:dyDescent="0.2">
      <c r="D746" s="359"/>
    </row>
    <row r="747" spans="4:4" x14ac:dyDescent="0.2">
      <c r="D747" s="359"/>
    </row>
    <row r="748" spans="4:4" x14ac:dyDescent="0.2">
      <c r="D748" s="359"/>
    </row>
    <row r="749" spans="4:4" x14ac:dyDescent="0.2">
      <c r="D749" s="359"/>
    </row>
    <row r="750" spans="4:4" x14ac:dyDescent="0.2">
      <c r="D750" s="359"/>
    </row>
    <row r="751" spans="4:4" x14ac:dyDescent="0.2">
      <c r="D751" s="359"/>
    </row>
    <row r="752" spans="4:4" x14ac:dyDescent="0.2">
      <c r="D752" s="359"/>
    </row>
    <row r="753" spans="4:4" x14ac:dyDescent="0.2">
      <c r="D753" s="359"/>
    </row>
    <row r="754" spans="4:4" x14ac:dyDescent="0.2">
      <c r="D754" s="359"/>
    </row>
    <row r="755" spans="4:4" x14ac:dyDescent="0.2">
      <c r="D755" s="359"/>
    </row>
    <row r="756" spans="4:4" x14ac:dyDescent="0.2">
      <c r="D756" s="359"/>
    </row>
    <row r="757" spans="4:4" x14ac:dyDescent="0.2">
      <c r="D757" s="359"/>
    </row>
    <row r="758" spans="4:4" x14ac:dyDescent="0.2">
      <c r="D758" s="359"/>
    </row>
    <row r="759" spans="4:4" x14ac:dyDescent="0.2">
      <c r="D759" s="359"/>
    </row>
    <row r="760" spans="4:4" x14ac:dyDescent="0.2">
      <c r="D760" s="359"/>
    </row>
    <row r="761" spans="4:4" x14ac:dyDescent="0.2">
      <c r="D761" s="359"/>
    </row>
    <row r="762" spans="4:4" x14ac:dyDescent="0.2">
      <c r="D762" s="359"/>
    </row>
    <row r="763" spans="4:4" x14ac:dyDescent="0.2">
      <c r="D763" s="359"/>
    </row>
    <row r="764" spans="4:4" x14ac:dyDescent="0.2">
      <c r="D764" s="359"/>
    </row>
    <row r="765" spans="4:4" x14ac:dyDescent="0.2">
      <c r="D765" s="359"/>
    </row>
    <row r="766" spans="4:4" x14ac:dyDescent="0.2">
      <c r="D766" s="359"/>
    </row>
    <row r="767" spans="4:4" x14ac:dyDescent="0.2">
      <c r="D767" s="359"/>
    </row>
    <row r="768" spans="4:4" x14ac:dyDescent="0.2">
      <c r="D768" s="359"/>
    </row>
    <row r="769" spans="4:4" x14ac:dyDescent="0.2">
      <c r="D769" s="359"/>
    </row>
    <row r="770" spans="4:4" x14ac:dyDescent="0.2">
      <c r="D770" s="359"/>
    </row>
    <row r="771" spans="4:4" x14ac:dyDescent="0.2">
      <c r="D771" s="359"/>
    </row>
    <row r="772" spans="4:4" x14ac:dyDescent="0.2">
      <c r="D772" s="359"/>
    </row>
    <row r="773" spans="4:4" x14ac:dyDescent="0.2">
      <c r="D773" s="359"/>
    </row>
    <row r="774" spans="4:4" x14ac:dyDescent="0.2">
      <c r="D774" s="359"/>
    </row>
    <row r="775" spans="4:4" x14ac:dyDescent="0.2">
      <c r="D775" s="359"/>
    </row>
    <row r="776" spans="4:4" x14ac:dyDescent="0.2">
      <c r="D776" s="359"/>
    </row>
    <row r="777" spans="4:4" x14ac:dyDescent="0.2">
      <c r="D777" s="359"/>
    </row>
    <row r="778" spans="4:4" x14ac:dyDescent="0.2">
      <c r="D778" s="359"/>
    </row>
    <row r="779" spans="4:4" x14ac:dyDescent="0.2">
      <c r="D779" s="359"/>
    </row>
    <row r="780" spans="4:4" x14ac:dyDescent="0.2">
      <c r="D780" s="359"/>
    </row>
    <row r="781" spans="4:4" x14ac:dyDescent="0.2">
      <c r="D781" s="359"/>
    </row>
    <row r="782" spans="4:4" x14ac:dyDescent="0.2">
      <c r="D782" s="359"/>
    </row>
    <row r="783" spans="4:4" x14ac:dyDescent="0.2">
      <c r="D783" s="359"/>
    </row>
    <row r="784" spans="4:4" x14ac:dyDescent="0.2">
      <c r="D784" s="359"/>
    </row>
    <row r="785" spans="4:4" x14ac:dyDescent="0.2">
      <c r="D785" s="359"/>
    </row>
    <row r="786" spans="4:4" x14ac:dyDescent="0.2">
      <c r="D786" s="359"/>
    </row>
    <row r="787" spans="4:4" x14ac:dyDescent="0.2">
      <c r="D787" s="359"/>
    </row>
    <row r="788" spans="4:4" x14ac:dyDescent="0.2">
      <c r="D788" s="359"/>
    </row>
    <row r="789" spans="4:4" x14ac:dyDescent="0.2">
      <c r="D789" s="359"/>
    </row>
    <row r="790" spans="4:4" x14ac:dyDescent="0.2">
      <c r="D790" s="359"/>
    </row>
    <row r="791" spans="4:4" x14ac:dyDescent="0.2">
      <c r="D791" s="359"/>
    </row>
    <row r="792" spans="4:4" x14ac:dyDescent="0.2">
      <c r="D792" s="359"/>
    </row>
    <row r="793" spans="4:4" x14ac:dyDescent="0.2">
      <c r="D793" s="359"/>
    </row>
    <row r="794" spans="4:4" x14ac:dyDescent="0.2">
      <c r="D794" s="359"/>
    </row>
    <row r="795" spans="4:4" x14ac:dyDescent="0.2">
      <c r="D795" s="359"/>
    </row>
    <row r="796" spans="4:4" x14ac:dyDescent="0.2">
      <c r="D796" s="359"/>
    </row>
    <row r="797" spans="4:4" x14ac:dyDescent="0.2">
      <c r="D797" s="359"/>
    </row>
    <row r="798" spans="4:4" x14ac:dyDescent="0.2">
      <c r="D798" s="359"/>
    </row>
    <row r="799" spans="4:4" x14ac:dyDescent="0.2">
      <c r="D799" s="359"/>
    </row>
    <row r="800" spans="4:4" x14ac:dyDescent="0.2">
      <c r="D800" s="359"/>
    </row>
    <row r="801" spans="4:4" x14ac:dyDescent="0.2">
      <c r="D801" s="359"/>
    </row>
    <row r="802" spans="4:4" x14ac:dyDescent="0.2">
      <c r="D802" s="359"/>
    </row>
    <row r="803" spans="4:4" x14ac:dyDescent="0.2">
      <c r="D803" s="359"/>
    </row>
    <row r="804" spans="4:4" x14ac:dyDescent="0.2">
      <c r="D804" s="359"/>
    </row>
    <row r="805" spans="4:4" x14ac:dyDescent="0.2">
      <c r="D805" s="359"/>
    </row>
    <row r="806" spans="4:4" x14ac:dyDescent="0.2">
      <c r="D806" s="359"/>
    </row>
    <row r="807" spans="4:4" x14ac:dyDescent="0.2">
      <c r="D807" s="359"/>
    </row>
    <row r="808" spans="4:4" x14ac:dyDescent="0.2">
      <c r="D808" s="359"/>
    </row>
    <row r="809" spans="4:4" x14ac:dyDescent="0.2">
      <c r="D809" s="359"/>
    </row>
    <row r="810" spans="4:4" x14ac:dyDescent="0.2">
      <c r="D810" s="359"/>
    </row>
    <row r="811" spans="4:4" x14ac:dyDescent="0.2">
      <c r="D811" s="359"/>
    </row>
    <row r="812" spans="4:4" x14ac:dyDescent="0.2">
      <c r="D812" s="359"/>
    </row>
    <row r="813" spans="4:4" x14ac:dyDescent="0.2">
      <c r="D813" s="359"/>
    </row>
    <row r="814" spans="4:4" x14ac:dyDescent="0.2">
      <c r="D814" s="359"/>
    </row>
    <row r="815" spans="4:4" x14ac:dyDescent="0.2">
      <c r="D815" s="359"/>
    </row>
    <row r="816" spans="4:4" x14ac:dyDescent="0.2">
      <c r="D816" s="359"/>
    </row>
    <row r="817" spans="4:4" x14ac:dyDescent="0.2">
      <c r="D817" s="359"/>
    </row>
    <row r="818" spans="4:4" x14ac:dyDescent="0.2">
      <c r="D818" s="359"/>
    </row>
    <row r="819" spans="4:4" x14ac:dyDescent="0.2">
      <c r="D819" s="359"/>
    </row>
    <row r="820" spans="4:4" x14ac:dyDescent="0.2">
      <c r="D820" s="359"/>
    </row>
    <row r="821" spans="4:4" x14ac:dyDescent="0.2">
      <c r="D821" s="359"/>
    </row>
    <row r="822" spans="4:4" x14ac:dyDescent="0.2">
      <c r="D822" s="359"/>
    </row>
    <row r="823" spans="4:4" x14ac:dyDescent="0.2">
      <c r="D823" s="359"/>
    </row>
    <row r="824" spans="4:4" x14ac:dyDescent="0.2">
      <c r="D824" s="359"/>
    </row>
    <row r="825" spans="4:4" x14ac:dyDescent="0.2">
      <c r="D825" s="359"/>
    </row>
    <row r="826" spans="4:4" x14ac:dyDescent="0.2">
      <c r="D826" s="359"/>
    </row>
    <row r="827" spans="4:4" x14ac:dyDescent="0.2">
      <c r="D827" s="359"/>
    </row>
    <row r="828" spans="4:4" x14ac:dyDescent="0.2">
      <c r="D828" s="359"/>
    </row>
    <row r="829" spans="4:4" x14ac:dyDescent="0.2">
      <c r="D829" s="359"/>
    </row>
    <row r="830" spans="4:4" x14ac:dyDescent="0.2">
      <c r="D830" s="359"/>
    </row>
    <row r="831" spans="4:4" x14ac:dyDescent="0.2">
      <c r="D831" s="359"/>
    </row>
    <row r="832" spans="4:4" x14ac:dyDescent="0.2">
      <c r="D832" s="359"/>
    </row>
    <row r="833" spans="4:4" x14ac:dyDescent="0.2">
      <c r="D833" s="359"/>
    </row>
    <row r="834" spans="4:4" x14ac:dyDescent="0.2">
      <c r="D834" s="359"/>
    </row>
    <row r="835" spans="4:4" x14ac:dyDescent="0.2">
      <c r="D835" s="359"/>
    </row>
    <row r="836" spans="4:4" x14ac:dyDescent="0.2">
      <c r="D836" s="359"/>
    </row>
    <row r="837" spans="4:4" x14ac:dyDescent="0.2">
      <c r="D837" s="359"/>
    </row>
    <row r="838" spans="4:4" x14ac:dyDescent="0.2">
      <c r="D838" s="359"/>
    </row>
    <row r="839" spans="4:4" x14ac:dyDescent="0.2">
      <c r="D839" s="359"/>
    </row>
    <row r="840" spans="4:4" x14ac:dyDescent="0.2">
      <c r="D840" s="359"/>
    </row>
    <row r="841" spans="4:4" x14ac:dyDescent="0.2">
      <c r="D841" s="359"/>
    </row>
    <row r="842" spans="4:4" x14ac:dyDescent="0.2">
      <c r="D842" s="359"/>
    </row>
    <row r="843" spans="4:4" x14ac:dyDescent="0.2">
      <c r="D843" s="359"/>
    </row>
    <row r="844" spans="4:4" x14ac:dyDescent="0.2">
      <c r="D844" s="359"/>
    </row>
    <row r="845" spans="4:4" x14ac:dyDescent="0.2">
      <c r="D845" s="359"/>
    </row>
    <row r="846" spans="4:4" x14ac:dyDescent="0.2">
      <c r="D846" s="359"/>
    </row>
    <row r="847" spans="4:4" x14ac:dyDescent="0.2">
      <c r="D847" s="359"/>
    </row>
    <row r="848" spans="4:4" x14ac:dyDescent="0.2">
      <c r="D848" s="359"/>
    </row>
    <row r="849" spans="4:4" x14ac:dyDescent="0.2">
      <c r="D849" s="359"/>
    </row>
  </sheetData>
  <phoneticPr fontId="2" type="noConversion"/>
  <pageMargins left="0.23622047244094491" right="0.23622047244094491" top="0.74803149606299213" bottom="0.74803149606299213" header="0.31496062992125984" footer="0.31496062992125984"/>
  <pageSetup paperSize="9" scale="60" fitToHeight="0" orientation="landscape" r:id="rId1"/>
  <headerFooter alignWithMargins="0">
    <oddHeader>&amp;L&amp;"Arial,Bold"&amp;12&amp;K01+049ПРИЛОЖЕНИЕ 1&amp;C&amp;"Arial,Bold"&amp;12&amp;K01+049Модел за изчисляване на броя необходими съдове и транспортни средства</oddHeader>
    <oddFooter>&amp;LBins&amp; Trucks&amp;R&amp;P</oddFooter>
  </headerFooter>
  <ignoredErrors>
    <ignoredError sqref="F120" formula="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pageSetUpPr fitToPage="1"/>
  </sheetPr>
  <dimension ref="A1:Y657"/>
  <sheetViews>
    <sheetView topLeftCell="A3" zoomScaleNormal="100" workbookViewId="0">
      <selection activeCell="E14" sqref="E14"/>
    </sheetView>
  </sheetViews>
  <sheetFormatPr defaultColWidth="9.140625" defaultRowHeight="15" x14ac:dyDescent="0.25"/>
  <cols>
    <col min="1" max="1" width="51.42578125" style="8" customWidth="1"/>
    <col min="2" max="2" width="12.7109375" style="8" hidden="1" customWidth="1"/>
    <col min="3" max="3" width="13.7109375" style="9" hidden="1" customWidth="1"/>
    <col min="4" max="4" width="16.28515625" style="21" customWidth="1"/>
    <col min="5" max="5" width="9.140625" style="9" bestFit="1"/>
    <col min="6" max="10" width="9.140625" style="9" bestFit="1" customWidth="1"/>
    <col min="11" max="11" width="9.140625" style="9" customWidth="1"/>
    <col min="12" max="16" width="9.140625" style="9" bestFit="1" customWidth="1"/>
    <col min="17" max="16384" width="9.140625" style="9"/>
  </cols>
  <sheetData>
    <row r="1" spans="1:25" ht="111" hidden="1" customHeight="1" thickBot="1" x14ac:dyDescent="0.3">
      <c r="A1" s="134"/>
      <c r="B1" s="134"/>
      <c r="C1" s="134"/>
      <c r="D1" s="476" t="s">
        <v>160</v>
      </c>
      <c r="E1" s="477"/>
      <c r="F1" s="477"/>
      <c r="G1" s="477"/>
      <c r="H1" s="477"/>
      <c r="I1" s="477"/>
      <c r="J1" s="477"/>
      <c r="K1" s="477"/>
      <c r="L1" s="134"/>
      <c r="M1" s="134"/>
      <c r="N1" s="134"/>
      <c r="O1" s="134"/>
      <c r="P1" s="134"/>
    </row>
    <row r="2" spans="1:25" ht="39.75" hidden="1" customHeight="1" thickBot="1" x14ac:dyDescent="0.3">
      <c r="A2" s="136"/>
      <c r="B2" s="136"/>
      <c r="C2" s="136"/>
      <c r="D2" s="288"/>
      <c r="E2" s="135"/>
      <c r="F2" s="136"/>
      <c r="G2" s="136"/>
      <c r="H2" s="136"/>
      <c r="I2" s="136"/>
      <c r="J2" s="136"/>
      <c r="K2" s="136"/>
      <c r="L2" s="136"/>
      <c r="M2" s="136"/>
      <c r="N2" s="136"/>
      <c r="O2" s="136"/>
      <c r="P2" s="136"/>
    </row>
    <row r="3" spans="1:25" ht="15" customHeight="1" thickBot="1" x14ac:dyDescent="0.3">
      <c r="A3" s="134"/>
      <c r="B3" s="134"/>
      <c r="C3" s="134"/>
      <c r="D3" s="289"/>
      <c r="E3" s="163"/>
      <c r="F3" s="134"/>
      <c r="G3" s="134"/>
      <c r="H3" s="134"/>
      <c r="I3" s="134"/>
      <c r="J3" s="134"/>
      <c r="K3" s="134"/>
      <c r="L3" s="134"/>
      <c r="M3" s="134"/>
      <c r="N3" s="134"/>
      <c r="O3" s="134"/>
      <c r="P3" s="134"/>
    </row>
    <row r="4" spans="1:25" s="11" customFormat="1" ht="15.75" thickTop="1" x14ac:dyDescent="0.25">
      <c r="A4" s="474"/>
      <c r="B4" s="475"/>
      <c r="D4" s="79"/>
    </row>
    <row r="5" spans="1:25" ht="23.25" x14ac:dyDescent="0.35">
      <c r="A5" s="474"/>
      <c r="B5" s="474"/>
      <c r="C5" s="104"/>
      <c r="D5" s="304" t="s">
        <v>176</v>
      </c>
      <c r="E5" s="140">
        <f>'Изходни данни'!C3</f>
        <v>2024</v>
      </c>
      <c r="F5" s="140">
        <f>'Изходни данни'!D3</f>
        <v>2025</v>
      </c>
      <c r="G5" s="140">
        <f>'Изходни данни'!E3</f>
        <v>2026</v>
      </c>
      <c r="H5" s="140">
        <f>'Изходни данни'!F3</f>
        <v>2027</v>
      </c>
      <c r="I5" s="140">
        <f>'Изходни данни'!G3</f>
        <v>2028</v>
      </c>
      <c r="J5" s="140">
        <f>'Изходни данни'!H3</f>
        <v>2029</v>
      </c>
      <c r="K5" s="140">
        <f>'Изходни данни'!I3</f>
        <v>2030</v>
      </c>
      <c r="L5" s="140">
        <f>'Изходни данни'!J3</f>
        <v>2031</v>
      </c>
      <c r="M5" s="140">
        <f>'Изходни данни'!K3</f>
        <v>2032</v>
      </c>
      <c r="N5" s="140">
        <f>'Изходни данни'!L3</f>
        <v>2033</v>
      </c>
      <c r="O5" s="140">
        <f>'Изходни данни'!M3</f>
        <v>2034</v>
      </c>
      <c r="P5" s="140">
        <f>'Изходни данни'!N3</f>
        <v>2035</v>
      </c>
    </row>
    <row r="6" spans="1:25" x14ac:dyDescent="0.25">
      <c r="A6" s="455" t="s">
        <v>20</v>
      </c>
      <c r="E6" s="28"/>
      <c r="F6" s="28"/>
      <c r="G6" s="28"/>
      <c r="H6" s="28"/>
      <c r="I6" s="28"/>
      <c r="J6" s="28"/>
      <c r="K6" s="28"/>
      <c r="L6" s="28"/>
      <c r="M6" s="28"/>
      <c r="N6" s="28"/>
      <c r="O6" s="28"/>
      <c r="P6" s="28"/>
    </row>
    <row r="7" spans="1:25" x14ac:dyDescent="0.25">
      <c r="A7" s="4" t="str">
        <f>'Изходни данни'!A5</f>
        <v>малки населени места (до 3000 жители)</v>
      </c>
      <c r="B7" s="9"/>
      <c r="D7" s="290" t="s">
        <v>129</v>
      </c>
      <c r="E7" s="24">
        <f>'Изходни данни'!C5</f>
        <v>10000</v>
      </c>
      <c r="F7" s="24">
        <f>'Изходни данни'!D5</f>
        <v>10000</v>
      </c>
      <c r="G7" s="24">
        <f>'Изходни данни'!E5</f>
        <v>10000</v>
      </c>
      <c r="H7" s="24">
        <f>'Изходни данни'!F5</f>
        <v>10000</v>
      </c>
      <c r="I7" s="24">
        <f>'Изходни данни'!G5</f>
        <v>10000</v>
      </c>
      <c r="J7" s="24">
        <f>'Изходни данни'!H5</f>
        <v>10000</v>
      </c>
      <c r="K7" s="24">
        <f>'Изходни данни'!I5</f>
        <v>10000</v>
      </c>
      <c r="L7" s="24">
        <f>'Изходни данни'!J5</f>
        <v>10000</v>
      </c>
      <c r="M7" s="24">
        <f>'Изходни данни'!K5</f>
        <v>10000</v>
      </c>
      <c r="N7" s="24">
        <f>'Изходни данни'!L5</f>
        <v>10000</v>
      </c>
      <c r="O7" s="24">
        <f>'Изходни данни'!M5</f>
        <v>10000</v>
      </c>
      <c r="P7" s="24">
        <f>'Изходни данни'!N5</f>
        <v>10000</v>
      </c>
    </row>
    <row r="8" spans="1:25" x14ac:dyDescent="0.25">
      <c r="A8" s="4" t="str">
        <f>'Изходни данни'!A6</f>
        <v>големи населени места (повече от 3000 жители)</v>
      </c>
      <c r="B8" s="9"/>
      <c r="D8" s="290" t="s">
        <v>129</v>
      </c>
      <c r="E8" s="24">
        <f>'Изходни данни'!C6</f>
        <v>25000</v>
      </c>
      <c r="F8" s="24">
        <f>'Изходни данни'!D6</f>
        <v>25000</v>
      </c>
      <c r="G8" s="24">
        <f>'Изходни данни'!E6</f>
        <v>25000</v>
      </c>
      <c r="H8" s="24">
        <f>'Изходни данни'!F6</f>
        <v>25000</v>
      </c>
      <c r="I8" s="24">
        <f>'Изходни данни'!G6</f>
        <v>25000</v>
      </c>
      <c r="J8" s="24">
        <f>'Изходни данни'!H6</f>
        <v>25000</v>
      </c>
      <c r="K8" s="24">
        <f>'Изходни данни'!I6</f>
        <v>25000</v>
      </c>
      <c r="L8" s="24">
        <f>'Изходни данни'!J6</f>
        <v>25000</v>
      </c>
      <c r="M8" s="24">
        <f>'Изходни данни'!K6</f>
        <v>25000</v>
      </c>
      <c r="N8" s="24">
        <f>'Изходни данни'!L6</f>
        <v>25000</v>
      </c>
      <c r="O8" s="24">
        <f>'Изходни данни'!M6</f>
        <v>25000</v>
      </c>
      <c r="P8" s="24">
        <f>'Изходни данни'!N6</f>
        <v>25000</v>
      </c>
    </row>
    <row r="9" spans="1:25" x14ac:dyDescent="0.25">
      <c r="A9" s="10"/>
      <c r="B9" s="9"/>
      <c r="D9" s="291"/>
      <c r="E9" s="25"/>
      <c r="F9" s="25"/>
      <c r="G9" s="25"/>
      <c r="H9" s="25"/>
      <c r="I9" s="25"/>
      <c r="J9" s="25"/>
      <c r="K9" s="25"/>
      <c r="L9" s="25"/>
      <c r="M9" s="25"/>
      <c r="N9" s="25"/>
      <c r="O9" s="25"/>
      <c r="P9" s="25"/>
    </row>
    <row r="10" spans="1:25" s="11" customFormat="1" x14ac:dyDescent="0.25">
      <c r="A10" s="4" t="s">
        <v>128</v>
      </c>
      <c r="D10" s="292" t="s">
        <v>19</v>
      </c>
      <c r="E10" s="26"/>
      <c r="F10" s="15">
        <f>(F28+F136-E136-E28)/(E28+E136)</f>
        <v>0</v>
      </c>
      <c r="G10" s="15">
        <f t="shared" ref="G10:P10" si="0">(G28+G136-F136-F28)/(F28+F136)</f>
        <v>0</v>
      </c>
      <c r="H10" s="15">
        <f t="shared" si="0"/>
        <v>0</v>
      </c>
      <c r="I10" s="15">
        <f t="shared" si="0"/>
        <v>0</v>
      </c>
      <c r="J10" s="15">
        <f t="shared" si="0"/>
        <v>0</v>
      </c>
      <c r="K10" s="15">
        <f t="shared" si="0"/>
        <v>0</v>
      </c>
      <c r="L10" s="15">
        <f t="shared" si="0"/>
        <v>0</v>
      </c>
      <c r="M10" s="15">
        <f t="shared" si="0"/>
        <v>0</v>
      </c>
      <c r="N10" s="15">
        <f t="shared" si="0"/>
        <v>0</v>
      </c>
      <c r="O10" s="15">
        <f t="shared" si="0"/>
        <v>0</v>
      </c>
      <c r="P10" s="15">
        <f t="shared" si="0"/>
        <v>0</v>
      </c>
    </row>
    <row r="11" spans="1:25" s="11" customFormat="1" x14ac:dyDescent="0.25">
      <c r="A11" s="4"/>
      <c r="D11" s="292"/>
      <c r="E11" s="26"/>
      <c r="F11" s="15"/>
      <c r="G11" s="15"/>
      <c r="H11" s="15"/>
      <c r="I11" s="15"/>
      <c r="J11" s="15"/>
      <c r="K11" s="15"/>
      <c r="L11" s="15"/>
      <c r="M11" s="15"/>
      <c r="N11" s="15"/>
      <c r="O11" s="15"/>
      <c r="P11" s="15"/>
    </row>
    <row r="12" spans="1:25" s="11" customFormat="1" ht="33.75" customHeight="1" x14ac:dyDescent="0.35">
      <c r="A12" s="141" t="str">
        <f>'Изходни данни'!A5</f>
        <v>малки населени места (до 3000 жители)</v>
      </c>
      <c r="B12" s="137"/>
      <c r="C12" s="137"/>
      <c r="D12" s="293"/>
      <c r="E12" s="137"/>
      <c r="F12" s="137"/>
      <c r="G12" s="137"/>
      <c r="H12" s="137"/>
      <c r="I12" s="137"/>
      <c r="J12" s="137"/>
      <c r="K12" s="137"/>
      <c r="L12" s="137"/>
      <c r="M12" s="137"/>
      <c r="N12" s="137"/>
      <c r="O12" s="137"/>
      <c r="P12" s="137"/>
    </row>
    <row r="13" spans="1:25" s="11" customFormat="1" x14ac:dyDescent="0.25">
      <c r="A13" s="142" t="s">
        <v>164</v>
      </c>
      <c r="D13" s="290" t="s">
        <v>19</v>
      </c>
      <c r="E13" s="450">
        <f>SUM(E14:E26)</f>
        <v>1</v>
      </c>
      <c r="F13" s="450">
        <f t="shared" ref="F13:P13" si="1">SUM(F14:F26)</f>
        <v>1</v>
      </c>
      <c r="G13" s="450">
        <f t="shared" si="1"/>
        <v>1</v>
      </c>
      <c r="H13" s="450">
        <f t="shared" si="1"/>
        <v>1</v>
      </c>
      <c r="I13" s="450">
        <f t="shared" si="1"/>
        <v>1</v>
      </c>
      <c r="J13" s="450">
        <f t="shared" si="1"/>
        <v>1</v>
      </c>
      <c r="K13" s="450">
        <f t="shared" si="1"/>
        <v>1</v>
      </c>
      <c r="L13" s="450">
        <f t="shared" si="1"/>
        <v>1</v>
      </c>
      <c r="M13" s="450">
        <f t="shared" si="1"/>
        <v>1</v>
      </c>
      <c r="N13" s="450">
        <f t="shared" si="1"/>
        <v>1</v>
      </c>
      <c r="O13" s="450">
        <f t="shared" si="1"/>
        <v>1</v>
      </c>
      <c r="P13" s="450">
        <f t="shared" si="1"/>
        <v>1</v>
      </c>
    </row>
    <row r="14" spans="1:25" s="11" customFormat="1" x14ac:dyDescent="0.25">
      <c r="A14" s="12" t="s">
        <v>0</v>
      </c>
      <c r="D14" s="290" t="s">
        <v>19</v>
      </c>
      <c r="E14" s="449">
        <f>E29/E$28</f>
        <v>0.21</v>
      </c>
      <c r="F14" s="449">
        <f t="shared" ref="F14:P14" si="2">F29/F$28</f>
        <v>0.21</v>
      </c>
      <c r="G14" s="449">
        <f t="shared" si="2"/>
        <v>0.21</v>
      </c>
      <c r="H14" s="449">
        <f t="shared" si="2"/>
        <v>0.21</v>
      </c>
      <c r="I14" s="449">
        <f t="shared" si="2"/>
        <v>0.21</v>
      </c>
      <c r="J14" s="449">
        <f t="shared" si="2"/>
        <v>0.21</v>
      </c>
      <c r="K14" s="449">
        <f t="shared" si="2"/>
        <v>0.21</v>
      </c>
      <c r="L14" s="449">
        <f t="shared" si="2"/>
        <v>0.21</v>
      </c>
      <c r="M14" s="449">
        <f t="shared" si="2"/>
        <v>0.21</v>
      </c>
      <c r="N14" s="449">
        <f t="shared" si="2"/>
        <v>0.21</v>
      </c>
      <c r="O14" s="449">
        <f t="shared" si="2"/>
        <v>0.21</v>
      </c>
      <c r="P14" s="449">
        <f t="shared" si="2"/>
        <v>0.21</v>
      </c>
      <c r="Q14" s="9"/>
      <c r="R14" s="9"/>
      <c r="S14" s="9"/>
      <c r="T14" s="9"/>
      <c r="U14" s="9"/>
      <c r="V14" s="9"/>
      <c r="W14" s="9"/>
      <c r="X14" s="9"/>
      <c r="Y14" s="9"/>
    </row>
    <row r="15" spans="1:25" s="11" customFormat="1" x14ac:dyDescent="0.25">
      <c r="A15" s="12" t="s">
        <v>1</v>
      </c>
      <c r="D15" s="290" t="s">
        <v>19</v>
      </c>
      <c r="E15" s="449">
        <f t="shared" ref="E15:P26" si="3">E30/E$28</f>
        <v>6.6363636363636361E-2</v>
      </c>
      <c r="F15" s="449">
        <f t="shared" si="3"/>
        <v>6.6363636363636361E-2</v>
      </c>
      <c r="G15" s="449">
        <f t="shared" si="3"/>
        <v>6.6363636363636361E-2</v>
      </c>
      <c r="H15" s="449">
        <f t="shared" si="3"/>
        <v>6.6363636363636361E-2</v>
      </c>
      <c r="I15" s="449">
        <f t="shared" si="3"/>
        <v>6.6363636363636361E-2</v>
      </c>
      <c r="J15" s="449">
        <f t="shared" si="3"/>
        <v>6.6363636363636361E-2</v>
      </c>
      <c r="K15" s="449">
        <f t="shared" si="3"/>
        <v>6.6363636363636361E-2</v>
      </c>
      <c r="L15" s="449">
        <f t="shared" si="3"/>
        <v>6.6363636363636361E-2</v>
      </c>
      <c r="M15" s="449">
        <f t="shared" si="3"/>
        <v>6.6363636363636361E-2</v>
      </c>
      <c r="N15" s="449">
        <f t="shared" si="3"/>
        <v>6.6363636363636361E-2</v>
      </c>
      <c r="O15" s="449">
        <f t="shared" si="3"/>
        <v>6.6363636363636361E-2</v>
      </c>
      <c r="P15" s="449">
        <f t="shared" si="3"/>
        <v>6.6363636363636361E-2</v>
      </c>
      <c r="Q15" s="9"/>
      <c r="R15" s="9"/>
      <c r="S15" s="9"/>
      <c r="T15" s="9"/>
      <c r="U15" s="9"/>
      <c r="V15" s="9"/>
      <c r="W15" s="9"/>
      <c r="X15" s="9"/>
      <c r="Y15" s="9"/>
    </row>
    <row r="16" spans="1:25" s="11" customFormat="1" x14ac:dyDescent="0.25">
      <c r="A16" s="12" t="s">
        <v>2</v>
      </c>
      <c r="D16" s="290" t="s">
        <v>19</v>
      </c>
      <c r="E16" s="449">
        <f t="shared" si="3"/>
        <v>0.11727272727272728</v>
      </c>
      <c r="F16" s="449">
        <f t="shared" si="3"/>
        <v>0.11727272727272728</v>
      </c>
      <c r="G16" s="449">
        <f t="shared" si="3"/>
        <v>0.11727272727272728</v>
      </c>
      <c r="H16" s="449">
        <f t="shared" si="3"/>
        <v>0.11727272727272728</v>
      </c>
      <c r="I16" s="449">
        <f t="shared" si="3"/>
        <v>0.11727272727272728</v>
      </c>
      <c r="J16" s="449">
        <f t="shared" si="3"/>
        <v>0.11727272727272728</v>
      </c>
      <c r="K16" s="449">
        <f t="shared" si="3"/>
        <v>0.11727272727272728</v>
      </c>
      <c r="L16" s="449">
        <f t="shared" si="3"/>
        <v>0.11727272727272728</v>
      </c>
      <c r="M16" s="449">
        <f t="shared" si="3"/>
        <v>0.11727272727272728</v>
      </c>
      <c r="N16" s="449">
        <f t="shared" si="3"/>
        <v>0.11727272727272728</v>
      </c>
      <c r="O16" s="449">
        <f t="shared" si="3"/>
        <v>0.11727272727272728</v>
      </c>
      <c r="P16" s="449">
        <f t="shared" si="3"/>
        <v>0.11727272727272728</v>
      </c>
      <c r="Q16" s="9"/>
      <c r="R16" s="9"/>
      <c r="S16" s="9"/>
      <c r="T16" s="9"/>
      <c r="U16" s="9"/>
      <c r="V16" s="9"/>
      <c r="W16" s="9"/>
      <c r="X16" s="9"/>
      <c r="Y16" s="9"/>
    </row>
    <row r="17" spans="1:25" s="11" customFormat="1" x14ac:dyDescent="0.25">
      <c r="A17" s="12" t="s">
        <v>3</v>
      </c>
      <c r="D17" s="290" t="s">
        <v>19</v>
      </c>
      <c r="E17" s="449">
        <f t="shared" si="3"/>
        <v>0.14000000000000001</v>
      </c>
      <c r="F17" s="449">
        <f t="shared" si="3"/>
        <v>0.14000000000000001</v>
      </c>
      <c r="G17" s="449">
        <f t="shared" si="3"/>
        <v>0.14000000000000001</v>
      </c>
      <c r="H17" s="449">
        <f t="shared" si="3"/>
        <v>0.14000000000000001</v>
      </c>
      <c r="I17" s="449">
        <f t="shared" si="3"/>
        <v>0.14000000000000001</v>
      </c>
      <c r="J17" s="449">
        <f t="shared" si="3"/>
        <v>0.14000000000000001</v>
      </c>
      <c r="K17" s="449">
        <f t="shared" si="3"/>
        <v>0.14000000000000001</v>
      </c>
      <c r="L17" s="449">
        <f t="shared" si="3"/>
        <v>0.14000000000000001</v>
      </c>
      <c r="M17" s="449">
        <f t="shared" si="3"/>
        <v>0.14000000000000001</v>
      </c>
      <c r="N17" s="449">
        <f t="shared" si="3"/>
        <v>0.14000000000000001</v>
      </c>
      <c r="O17" s="449">
        <f t="shared" si="3"/>
        <v>0.14000000000000001</v>
      </c>
      <c r="P17" s="449">
        <f t="shared" si="3"/>
        <v>0.14000000000000001</v>
      </c>
      <c r="Q17" s="9"/>
      <c r="R17" s="9"/>
      <c r="S17" s="9"/>
      <c r="T17" s="9"/>
      <c r="U17" s="9"/>
      <c r="V17" s="9"/>
      <c r="W17" s="9"/>
      <c r="X17" s="9"/>
      <c r="Y17" s="9"/>
    </row>
    <row r="18" spans="1:25" s="11" customFormat="1" x14ac:dyDescent="0.25">
      <c r="A18" s="12" t="s">
        <v>4</v>
      </c>
      <c r="D18" s="290" t="s">
        <v>19</v>
      </c>
      <c r="E18" s="449">
        <f t="shared" si="3"/>
        <v>0.04</v>
      </c>
      <c r="F18" s="449">
        <f t="shared" si="3"/>
        <v>0.04</v>
      </c>
      <c r="G18" s="449">
        <f t="shared" si="3"/>
        <v>0.04</v>
      </c>
      <c r="H18" s="449">
        <f t="shared" si="3"/>
        <v>0.04</v>
      </c>
      <c r="I18" s="449">
        <f t="shared" si="3"/>
        <v>0.04</v>
      </c>
      <c r="J18" s="449">
        <f t="shared" si="3"/>
        <v>0.04</v>
      </c>
      <c r="K18" s="449">
        <f t="shared" si="3"/>
        <v>0.04</v>
      </c>
      <c r="L18" s="449">
        <f t="shared" si="3"/>
        <v>0.04</v>
      </c>
      <c r="M18" s="449">
        <f t="shared" si="3"/>
        <v>0.04</v>
      </c>
      <c r="N18" s="449">
        <f t="shared" si="3"/>
        <v>0.04</v>
      </c>
      <c r="O18" s="449">
        <f t="shared" si="3"/>
        <v>0.04</v>
      </c>
      <c r="P18" s="449">
        <f t="shared" si="3"/>
        <v>0.04</v>
      </c>
      <c r="Q18" s="9"/>
      <c r="R18" s="9"/>
      <c r="S18" s="9"/>
      <c r="T18" s="9"/>
      <c r="U18" s="9"/>
      <c r="V18" s="9"/>
      <c r="W18" s="9"/>
      <c r="X18" s="9"/>
      <c r="Y18" s="9"/>
    </row>
    <row r="19" spans="1:25" s="11" customFormat="1" x14ac:dyDescent="0.25">
      <c r="A19" s="12" t="s">
        <v>5</v>
      </c>
      <c r="D19" s="290" t="s">
        <v>19</v>
      </c>
      <c r="E19" s="449">
        <f t="shared" si="3"/>
        <v>0.01</v>
      </c>
      <c r="F19" s="449">
        <f t="shared" si="3"/>
        <v>0.01</v>
      </c>
      <c r="G19" s="449">
        <f t="shared" si="3"/>
        <v>0.01</v>
      </c>
      <c r="H19" s="449">
        <f t="shared" si="3"/>
        <v>0.01</v>
      </c>
      <c r="I19" s="449">
        <f t="shared" si="3"/>
        <v>0.01</v>
      </c>
      <c r="J19" s="449">
        <f t="shared" si="3"/>
        <v>0.01</v>
      </c>
      <c r="K19" s="449">
        <f t="shared" si="3"/>
        <v>0.01</v>
      </c>
      <c r="L19" s="449">
        <f t="shared" si="3"/>
        <v>0.01</v>
      </c>
      <c r="M19" s="449">
        <f t="shared" si="3"/>
        <v>0.01</v>
      </c>
      <c r="N19" s="449">
        <f t="shared" si="3"/>
        <v>0.01</v>
      </c>
      <c r="O19" s="449">
        <f t="shared" si="3"/>
        <v>0.01</v>
      </c>
      <c r="P19" s="449">
        <f t="shared" si="3"/>
        <v>0.01</v>
      </c>
      <c r="Q19" s="9"/>
      <c r="R19" s="9"/>
      <c r="S19" s="9"/>
      <c r="T19" s="9"/>
      <c r="U19" s="9"/>
      <c r="V19" s="9"/>
      <c r="W19" s="9"/>
      <c r="X19" s="9"/>
      <c r="Y19" s="9"/>
    </row>
    <row r="20" spans="1:25" s="11" customFormat="1" x14ac:dyDescent="0.25">
      <c r="A20" s="12" t="s">
        <v>6</v>
      </c>
      <c r="D20" s="290" t="s">
        <v>19</v>
      </c>
      <c r="E20" s="449">
        <f t="shared" si="3"/>
        <v>0.01</v>
      </c>
      <c r="F20" s="449">
        <f t="shared" si="3"/>
        <v>0.01</v>
      </c>
      <c r="G20" s="449">
        <f t="shared" si="3"/>
        <v>0.01</v>
      </c>
      <c r="H20" s="449">
        <f t="shared" si="3"/>
        <v>0.01</v>
      </c>
      <c r="I20" s="449">
        <f t="shared" si="3"/>
        <v>0.01</v>
      </c>
      <c r="J20" s="449">
        <f t="shared" si="3"/>
        <v>0.01</v>
      </c>
      <c r="K20" s="449">
        <f t="shared" si="3"/>
        <v>0.01</v>
      </c>
      <c r="L20" s="449">
        <f t="shared" si="3"/>
        <v>0.01</v>
      </c>
      <c r="M20" s="449">
        <f t="shared" si="3"/>
        <v>0.01</v>
      </c>
      <c r="N20" s="449">
        <f t="shared" si="3"/>
        <v>0.01</v>
      </c>
      <c r="O20" s="449">
        <f t="shared" si="3"/>
        <v>0.01</v>
      </c>
      <c r="P20" s="449">
        <f t="shared" si="3"/>
        <v>0.01</v>
      </c>
      <c r="Q20" s="9"/>
      <c r="R20" s="9"/>
      <c r="S20" s="9"/>
      <c r="T20" s="9"/>
      <c r="U20" s="9"/>
      <c r="V20" s="9"/>
      <c r="W20" s="9"/>
      <c r="X20" s="9"/>
      <c r="Y20" s="9"/>
    </row>
    <row r="21" spans="1:25" s="11" customFormat="1" x14ac:dyDescent="0.25">
      <c r="A21" s="12" t="s">
        <v>12</v>
      </c>
      <c r="D21" s="290" t="s">
        <v>19</v>
      </c>
      <c r="E21" s="449">
        <f t="shared" si="3"/>
        <v>0.14136363636363636</v>
      </c>
      <c r="F21" s="449">
        <f t="shared" si="3"/>
        <v>0.14136363636363636</v>
      </c>
      <c r="G21" s="449">
        <f t="shared" si="3"/>
        <v>0.14136363636363636</v>
      </c>
      <c r="H21" s="449">
        <f t="shared" si="3"/>
        <v>0.14136363636363636</v>
      </c>
      <c r="I21" s="449">
        <f t="shared" si="3"/>
        <v>0.14136363636363636</v>
      </c>
      <c r="J21" s="449">
        <f t="shared" si="3"/>
        <v>0.14136363636363636</v>
      </c>
      <c r="K21" s="449">
        <f t="shared" si="3"/>
        <v>0.14136363636363636</v>
      </c>
      <c r="L21" s="449">
        <f t="shared" si="3"/>
        <v>0.14136363636363636</v>
      </c>
      <c r="M21" s="449">
        <f t="shared" si="3"/>
        <v>0.14136363636363636</v>
      </c>
      <c r="N21" s="449">
        <f t="shared" si="3"/>
        <v>0.14136363636363636</v>
      </c>
      <c r="O21" s="449">
        <f t="shared" si="3"/>
        <v>0.14136363636363636</v>
      </c>
      <c r="P21" s="449">
        <f t="shared" si="3"/>
        <v>0.14136363636363636</v>
      </c>
      <c r="Q21" s="9"/>
      <c r="R21" s="9"/>
      <c r="S21" s="9"/>
      <c r="T21" s="9"/>
      <c r="U21" s="9"/>
      <c r="V21" s="9"/>
      <c r="W21" s="9"/>
      <c r="X21" s="9"/>
      <c r="Y21" s="9"/>
    </row>
    <row r="22" spans="1:25" s="11" customFormat="1" x14ac:dyDescent="0.25">
      <c r="A22" s="12" t="s">
        <v>11</v>
      </c>
      <c r="D22" s="290" t="s">
        <v>19</v>
      </c>
      <c r="E22" s="449">
        <f t="shared" si="3"/>
        <v>2.5000000000000001E-2</v>
      </c>
      <c r="F22" s="449">
        <f t="shared" si="3"/>
        <v>2.5000000000000001E-2</v>
      </c>
      <c r="G22" s="449">
        <f t="shared" si="3"/>
        <v>2.5000000000000001E-2</v>
      </c>
      <c r="H22" s="449">
        <f t="shared" si="3"/>
        <v>2.5000000000000001E-2</v>
      </c>
      <c r="I22" s="449">
        <f t="shared" si="3"/>
        <v>2.5000000000000001E-2</v>
      </c>
      <c r="J22" s="449">
        <f t="shared" si="3"/>
        <v>2.5000000000000001E-2</v>
      </c>
      <c r="K22" s="449">
        <f t="shared" si="3"/>
        <v>2.5000000000000001E-2</v>
      </c>
      <c r="L22" s="449">
        <f t="shared" si="3"/>
        <v>2.5000000000000001E-2</v>
      </c>
      <c r="M22" s="449">
        <f t="shared" si="3"/>
        <v>2.5000000000000001E-2</v>
      </c>
      <c r="N22" s="449">
        <f t="shared" si="3"/>
        <v>2.5000000000000001E-2</v>
      </c>
      <c r="O22" s="449">
        <f t="shared" si="3"/>
        <v>2.5000000000000001E-2</v>
      </c>
      <c r="P22" s="449">
        <f t="shared" si="3"/>
        <v>2.5000000000000001E-2</v>
      </c>
      <c r="Q22" s="9"/>
      <c r="R22" s="9"/>
      <c r="S22" s="9"/>
      <c r="T22" s="9"/>
      <c r="U22" s="9"/>
      <c r="V22" s="9"/>
      <c r="W22" s="9"/>
      <c r="X22" s="9"/>
      <c r="Y22" s="9"/>
    </row>
    <row r="23" spans="1:25" s="11" customFormat="1" x14ac:dyDescent="0.25">
      <c r="A23" s="12" t="s">
        <v>7</v>
      </c>
      <c r="D23" s="290" t="s">
        <v>19</v>
      </c>
      <c r="E23" s="449">
        <f t="shared" si="3"/>
        <v>0.08</v>
      </c>
      <c r="F23" s="449">
        <f t="shared" si="3"/>
        <v>0.08</v>
      </c>
      <c r="G23" s="449">
        <f t="shared" si="3"/>
        <v>0.08</v>
      </c>
      <c r="H23" s="449">
        <f t="shared" si="3"/>
        <v>0.08</v>
      </c>
      <c r="I23" s="449">
        <f t="shared" si="3"/>
        <v>0.08</v>
      </c>
      <c r="J23" s="449">
        <f t="shared" si="3"/>
        <v>0.08</v>
      </c>
      <c r="K23" s="449">
        <f t="shared" si="3"/>
        <v>0.08</v>
      </c>
      <c r="L23" s="449">
        <f t="shared" si="3"/>
        <v>0.08</v>
      </c>
      <c r="M23" s="449">
        <f t="shared" si="3"/>
        <v>0.08</v>
      </c>
      <c r="N23" s="449">
        <f t="shared" si="3"/>
        <v>0.08</v>
      </c>
      <c r="O23" s="449">
        <f t="shared" si="3"/>
        <v>0.08</v>
      </c>
      <c r="P23" s="449">
        <f t="shared" si="3"/>
        <v>0.08</v>
      </c>
      <c r="Q23" s="9"/>
      <c r="R23" s="9"/>
      <c r="S23" s="9"/>
      <c r="T23" s="9"/>
      <c r="U23" s="9"/>
      <c r="V23" s="9"/>
      <c r="W23" s="9"/>
      <c r="X23" s="9"/>
      <c r="Y23" s="9"/>
    </row>
    <row r="24" spans="1:25" s="11" customFormat="1" x14ac:dyDescent="0.25">
      <c r="A24" s="12" t="s">
        <v>8</v>
      </c>
      <c r="D24" s="290" t="s">
        <v>19</v>
      </c>
      <c r="E24" s="449">
        <f t="shared" si="3"/>
        <v>2.5000000000000001E-2</v>
      </c>
      <c r="F24" s="449">
        <f t="shared" si="3"/>
        <v>2.5000000000000001E-2</v>
      </c>
      <c r="G24" s="449">
        <f t="shared" si="3"/>
        <v>2.5000000000000001E-2</v>
      </c>
      <c r="H24" s="449">
        <f t="shared" si="3"/>
        <v>2.5000000000000001E-2</v>
      </c>
      <c r="I24" s="449">
        <f t="shared" si="3"/>
        <v>2.5000000000000001E-2</v>
      </c>
      <c r="J24" s="449">
        <f t="shared" si="3"/>
        <v>2.5000000000000001E-2</v>
      </c>
      <c r="K24" s="449">
        <f t="shared" si="3"/>
        <v>2.5000000000000001E-2</v>
      </c>
      <c r="L24" s="449">
        <f t="shared" si="3"/>
        <v>2.5000000000000001E-2</v>
      </c>
      <c r="M24" s="449">
        <f t="shared" si="3"/>
        <v>2.5000000000000001E-2</v>
      </c>
      <c r="N24" s="449">
        <f t="shared" si="3"/>
        <v>2.5000000000000001E-2</v>
      </c>
      <c r="O24" s="449">
        <f t="shared" si="3"/>
        <v>2.5000000000000001E-2</v>
      </c>
      <c r="P24" s="449">
        <f t="shared" si="3"/>
        <v>2.5000000000000001E-2</v>
      </c>
      <c r="Q24" s="9"/>
      <c r="R24" s="9"/>
      <c r="S24" s="9"/>
      <c r="T24" s="9"/>
      <c r="U24" s="9"/>
      <c r="V24" s="9"/>
      <c r="W24" s="9"/>
      <c r="X24" s="9"/>
      <c r="Y24" s="9"/>
    </row>
    <row r="25" spans="1:25" s="11" customFormat="1" x14ac:dyDescent="0.25">
      <c r="A25" s="12" t="s">
        <v>9</v>
      </c>
      <c r="D25" s="290" t="s">
        <v>19</v>
      </c>
      <c r="E25" s="449">
        <f t="shared" si="3"/>
        <v>0.13</v>
      </c>
      <c r="F25" s="449">
        <f t="shared" si="3"/>
        <v>0.13</v>
      </c>
      <c r="G25" s="449">
        <f t="shared" si="3"/>
        <v>0.13</v>
      </c>
      <c r="H25" s="449">
        <f t="shared" si="3"/>
        <v>0.13</v>
      </c>
      <c r="I25" s="449">
        <f t="shared" si="3"/>
        <v>0.13</v>
      </c>
      <c r="J25" s="449">
        <f t="shared" si="3"/>
        <v>0.13</v>
      </c>
      <c r="K25" s="449">
        <f t="shared" si="3"/>
        <v>0.13</v>
      </c>
      <c r="L25" s="449">
        <f t="shared" si="3"/>
        <v>0.13</v>
      </c>
      <c r="M25" s="449">
        <f t="shared" si="3"/>
        <v>0.13</v>
      </c>
      <c r="N25" s="449">
        <f t="shared" si="3"/>
        <v>0.13</v>
      </c>
      <c r="O25" s="449">
        <f t="shared" si="3"/>
        <v>0.13</v>
      </c>
      <c r="P25" s="449">
        <f t="shared" si="3"/>
        <v>0.13</v>
      </c>
      <c r="Q25" s="9"/>
      <c r="R25" s="9"/>
      <c r="S25" s="9"/>
      <c r="T25" s="9"/>
      <c r="U25" s="9"/>
      <c r="V25" s="9"/>
      <c r="W25" s="9"/>
      <c r="X25" s="9"/>
      <c r="Y25" s="9"/>
    </row>
    <row r="26" spans="1:25" s="11" customFormat="1" x14ac:dyDescent="0.25">
      <c r="A26" s="12" t="s">
        <v>10</v>
      </c>
      <c r="D26" s="290" t="s">
        <v>19</v>
      </c>
      <c r="E26" s="449">
        <f t="shared" si="3"/>
        <v>5.0000000000000001E-3</v>
      </c>
      <c r="F26" s="449">
        <f t="shared" si="3"/>
        <v>5.0000000000000001E-3</v>
      </c>
      <c r="G26" s="449">
        <f t="shared" si="3"/>
        <v>5.0000000000000001E-3</v>
      </c>
      <c r="H26" s="449">
        <f t="shared" si="3"/>
        <v>5.0000000000000001E-3</v>
      </c>
      <c r="I26" s="449">
        <f t="shared" si="3"/>
        <v>5.0000000000000001E-3</v>
      </c>
      <c r="J26" s="449">
        <f t="shared" si="3"/>
        <v>5.0000000000000001E-3</v>
      </c>
      <c r="K26" s="449">
        <f t="shared" si="3"/>
        <v>5.0000000000000001E-3</v>
      </c>
      <c r="L26" s="449">
        <f t="shared" si="3"/>
        <v>5.0000000000000001E-3</v>
      </c>
      <c r="M26" s="449">
        <f t="shared" si="3"/>
        <v>5.0000000000000001E-3</v>
      </c>
      <c r="N26" s="449">
        <f t="shared" si="3"/>
        <v>5.0000000000000001E-3</v>
      </c>
      <c r="O26" s="449">
        <f t="shared" si="3"/>
        <v>5.0000000000000001E-3</v>
      </c>
      <c r="P26" s="449">
        <f t="shared" si="3"/>
        <v>5.0000000000000001E-3</v>
      </c>
      <c r="Q26" s="9"/>
      <c r="R26" s="9"/>
      <c r="S26" s="9"/>
      <c r="T26" s="9"/>
      <c r="U26" s="9"/>
      <c r="V26" s="9"/>
      <c r="W26" s="9"/>
      <c r="X26" s="9"/>
      <c r="Y26" s="9"/>
    </row>
    <row r="27" spans="1:25" s="11" customFormat="1" x14ac:dyDescent="0.25">
      <c r="A27" s="16"/>
      <c r="D27" s="294"/>
      <c r="E27" s="15"/>
      <c r="F27" s="15"/>
      <c r="G27" s="15"/>
      <c r="H27" s="15"/>
      <c r="I27" s="15"/>
      <c r="J27" s="15"/>
      <c r="K27" s="15"/>
      <c r="L27" s="15"/>
      <c r="M27" s="15"/>
      <c r="N27" s="15"/>
      <c r="O27" s="15"/>
      <c r="P27" s="15"/>
    </row>
    <row r="28" spans="1:25" x14ac:dyDescent="0.25">
      <c r="A28" s="143" t="s">
        <v>165</v>
      </c>
      <c r="D28" s="305" t="s">
        <v>22</v>
      </c>
      <c r="E28" s="25">
        <f>E73+E43</f>
        <v>3300</v>
      </c>
      <c r="F28" s="25">
        <f t="shared" ref="F28:P28" si="4">F73+F43</f>
        <v>3300</v>
      </c>
      <c r="G28" s="25">
        <f t="shared" si="4"/>
        <v>3300</v>
      </c>
      <c r="H28" s="25">
        <f t="shared" si="4"/>
        <v>3300</v>
      </c>
      <c r="I28" s="25">
        <f t="shared" si="4"/>
        <v>3300</v>
      </c>
      <c r="J28" s="25">
        <f t="shared" si="4"/>
        <v>3300</v>
      </c>
      <c r="K28" s="25">
        <f t="shared" si="4"/>
        <v>3300</v>
      </c>
      <c r="L28" s="25">
        <f t="shared" si="4"/>
        <v>3300</v>
      </c>
      <c r="M28" s="25">
        <f t="shared" si="4"/>
        <v>3300</v>
      </c>
      <c r="N28" s="25">
        <f t="shared" si="4"/>
        <v>3300</v>
      </c>
      <c r="O28" s="25">
        <f t="shared" si="4"/>
        <v>3300</v>
      </c>
      <c r="P28" s="25">
        <f t="shared" si="4"/>
        <v>3300</v>
      </c>
    </row>
    <row r="29" spans="1:25" x14ac:dyDescent="0.25">
      <c r="A29" s="12" t="s">
        <v>0</v>
      </c>
      <c r="D29" s="292" t="s">
        <v>22</v>
      </c>
      <c r="E29" s="24">
        <f t="shared" ref="E29:P41" si="5">E74+E44</f>
        <v>693</v>
      </c>
      <c r="F29" s="24">
        <f t="shared" si="5"/>
        <v>693</v>
      </c>
      <c r="G29" s="24">
        <f t="shared" si="5"/>
        <v>693</v>
      </c>
      <c r="H29" s="24">
        <f t="shared" si="5"/>
        <v>693</v>
      </c>
      <c r="I29" s="24">
        <f t="shared" si="5"/>
        <v>693</v>
      </c>
      <c r="J29" s="24">
        <f t="shared" si="5"/>
        <v>693</v>
      </c>
      <c r="K29" s="24">
        <f t="shared" si="5"/>
        <v>693</v>
      </c>
      <c r="L29" s="24">
        <f t="shared" si="5"/>
        <v>693</v>
      </c>
      <c r="M29" s="24">
        <f t="shared" si="5"/>
        <v>693</v>
      </c>
      <c r="N29" s="24">
        <f t="shared" si="5"/>
        <v>693</v>
      </c>
      <c r="O29" s="24">
        <f t="shared" si="5"/>
        <v>693</v>
      </c>
      <c r="P29" s="24">
        <f t="shared" si="5"/>
        <v>693</v>
      </c>
    </row>
    <row r="30" spans="1:25" x14ac:dyDescent="0.25">
      <c r="A30" s="12" t="s">
        <v>1</v>
      </c>
      <c r="D30" s="292" t="s">
        <v>22</v>
      </c>
      <c r="E30" s="24">
        <f t="shared" si="5"/>
        <v>219</v>
      </c>
      <c r="F30" s="24">
        <f t="shared" si="5"/>
        <v>219</v>
      </c>
      <c r="G30" s="24">
        <f t="shared" si="5"/>
        <v>219</v>
      </c>
      <c r="H30" s="24">
        <f t="shared" si="5"/>
        <v>219</v>
      </c>
      <c r="I30" s="24">
        <f t="shared" si="5"/>
        <v>219</v>
      </c>
      <c r="J30" s="24">
        <f t="shared" si="5"/>
        <v>219</v>
      </c>
      <c r="K30" s="24">
        <f t="shared" si="5"/>
        <v>219</v>
      </c>
      <c r="L30" s="24">
        <f t="shared" si="5"/>
        <v>219</v>
      </c>
      <c r="M30" s="24">
        <f t="shared" si="5"/>
        <v>219</v>
      </c>
      <c r="N30" s="24">
        <f t="shared" si="5"/>
        <v>219</v>
      </c>
      <c r="O30" s="24">
        <f t="shared" si="5"/>
        <v>219</v>
      </c>
      <c r="P30" s="24">
        <f t="shared" si="5"/>
        <v>219</v>
      </c>
    </row>
    <row r="31" spans="1:25" x14ac:dyDescent="0.25">
      <c r="A31" s="12" t="s">
        <v>2</v>
      </c>
      <c r="D31" s="292" t="s">
        <v>22</v>
      </c>
      <c r="E31" s="24">
        <f t="shared" si="5"/>
        <v>387</v>
      </c>
      <c r="F31" s="24">
        <f t="shared" si="5"/>
        <v>387</v>
      </c>
      <c r="G31" s="24">
        <f t="shared" si="5"/>
        <v>387</v>
      </c>
      <c r="H31" s="24">
        <f t="shared" si="5"/>
        <v>387</v>
      </c>
      <c r="I31" s="24">
        <f t="shared" si="5"/>
        <v>387</v>
      </c>
      <c r="J31" s="24">
        <f t="shared" si="5"/>
        <v>387</v>
      </c>
      <c r="K31" s="24">
        <f t="shared" si="5"/>
        <v>387</v>
      </c>
      <c r="L31" s="24">
        <f t="shared" si="5"/>
        <v>387</v>
      </c>
      <c r="M31" s="24">
        <f t="shared" si="5"/>
        <v>387</v>
      </c>
      <c r="N31" s="24">
        <f t="shared" si="5"/>
        <v>387</v>
      </c>
      <c r="O31" s="24">
        <f t="shared" si="5"/>
        <v>387</v>
      </c>
      <c r="P31" s="24">
        <f t="shared" si="5"/>
        <v>387</v>
      </c>
    </row>
    <row r="32" spans="1:25" x14ac:dyDescent="0.25">
      <c r="A32" s="12" t="s">
        <v>3</v>
      </c>
      <c r="D32" s="292" t="s">
        <v>22</v>
      </c>
      <c r="E32" s="24">
        <f t="shared" si="5"/>
        <v>462.00000000000006</v>
      </c>
      <c r="F32" s="24">
        <f t="shared" si="5"/>
        <v>462.00000000000006</v>
      </c>
      <c r="G32" s="24">
        <f t="shared" si="5"/>
        <v>462.00000000000006</v>
      </c>
      <c r="H32" s="24">
        <f t="shared" si="5"/>
        <v>462.00000000000006</v>
      </c>
      <c r="I32" s="24">
        <f t="shared" si="5"/>
        <v>462.00000000000006</v>
      </c>
      <c r="J32" s="24">
        <f t="shared" si="5"/>
        <v>462.00000000000006</v>
      </c>
      <c r="K32" s="24">
        <f t="shared" si="5"/>
        <v>462.00000000000006</v>
      </c>
      <c r="L32" s="24">
        <f t="shared" si="5"/>
        <v>462.00000000000006</v>
      </c>
      <c r="M32" s="24">
        <f t="shared" si="5"/>
        <v>462.00000000000006</v>
      </c>
      <c r="N32" s="24">
        <f t="shared" si="5"/>
        <v>462.00000000000006</v>
      </c>
      <c r="O32" s="24">
        <f t="shared" si="5"/>
        <v>462.00000000000006</v>
      </c>
      <c r="P32" s="24">
        <f t="shared" si="5"/>
        <v>462.00000000000006</v>
      </c>
    </row>
    <row r="33" spans="1:16" x14ac:dyDescent="0.25">
      <c r="A33" s="12" t="s">
        <v>4</v>
      </c>
      <c r="D33" s="292" t="s">
        <v>22</v>
      </c>
      <c r="E33" s="24">
        <f t="shared" si="5"/>
        <v>132</v>
      </c>
      <c r="F33" s="24">
        <f t="shared" si="5"/>
        <v>132</v>
      </c>
      <c r="G33" s="24">
        <f t="shared" si="5"/>
        <v>132</v>
      </c>
      <c r="H33" s="24">
        <f t="shared" si="5"/>
        <v>132</v>
      </c>
      <c r="I33" s="24">
        <f t="shared" si="5"/>
        <v>132</v>
      </c>
      <c r="J33" s="24">
        <f t="shared" si="5"/>
        <v>132</v>
      </c>
      <c r="K33" s="24">
        <f t="shared" si="5"/>
        <v>132</v>
      </c>
      <c r="L33" s="24">
        <f t="shared" si="5"/>
        <v>132</v>
      </c>
      <c r="M33" s="24">
        <f t="shared" si="5"/>
        <v>132</v>
      </c>
      <c r="N33" s="24">
        <f t="shared" si="5"/>
        <v>132</v>
      </c>
      <c r="O33" s="24">
        <f t="shared" si="5"/>
        <v>132</v>
      </c>
      <c r="P33" s="24">
        <f t="shared" si="5"/>
        <v>132</v>
      </c>
    </row>
    <row r="34" spans="1:16" x14ac:dyDescent="0.25">
      <c r="A34" s="12" t="s">
        <v>5</v>
      </c>
      <c r="D34" s="292" t="s">
        <v>22</v>
      </c>
      <c r="E34" s="24">
        <f t="shared" si="5"/>
        <v>33</v>
      </c>
      <c r="F34" s="24">
        <f t="shared" si="5"/>
        <v>33</v>
      </c>
      <c r="G34" s="24">
        <f t="shared" si="5"/>
        <v>33</v>
      </c>
      <c r="H34" s="24">
        <f t="shared" si="5"/>
        <v>33</v>
      </c>
      <c r="I34" s="24">
        <f t="shared" si="5"/>
        <v>33</v>
      </c>
      <c r="J34" s="24">
        <f t="shared" si="5"/>
        <v>33</v>
      </c>
      <c r="K34" s="24">
        <f t="shared" si="5"/>
        <v>33</v>
      </c>
      <c r="L34" s="24">
        <f t="shared" si="5"/>
        <v>33</v>
      </c>
      <c r="M34" s="24">
        <f t="shared" si="5"/>
        <v>33</v>
      </c>
      <c r="N34" s="24">
        <f t="shared" si="5"/>
        <v>33</v>
      </c>
      <c r="O34" s="24">
        <f t="shared" si="5"/>
        <v>33</v>
      </c>
      <c r="P34" s="24">
        <f t="shared" si="5"/>
        <v>33</v>
      </c>
    </row>
    <row r="35" spans="1:16" x14ac:dyDescent="0.25">
      <c r="A35" s="12" t="s">
        <v>6</v>
      </c>
      <c r="D35" s="292" t="s">
        <v>22</v>
      </c>
      <c r="E35" s="24">
        <f t="shared" si="5"/>
        <v>33</v>
      </c>
      <c r="F35" s="24">
        <f t="shared" si="5"/>
        <v>33</v>
      </c>
      <c r="G35" s="24">
        <f t="shared" si="5"/>
        <v>33</v>
      </c>
      <c r="H35" s="24">
        <f t="shared" si="5"/>
        <v>33</v>
      </c>
      <c r="I35" s="24">
        <f t="shared" si="5"/>
        <v>33</v>
      </c>
      <c r="J35" s="24">
        <f t="shared" si="5"/>
        <v>33</v>
      </c>
      <c r="K35" s="24">
        <f t="shared" si="5"/>
        <v>33</v>
      </c>
      <c r="L35" s="24">
        <f t="shared" si="5"/>
        <v>33</v>
      </c>
      <c r="M35" s="24">
        <f t="shared" si="5"/>
        <v>33</v>
      </c>
      <c r="N35" s="24">
        <f t="shared" si="5"/>
        <v>33</v>
      </c>
      <c r="O35" s="24">
        <f t="shared" si="5"/>
        <v>33</v>
      </c>
      <c r="P35" s="24">
        <f t="shared" si="5"/>
        <v>33</v>
      </c>
    </row>
    <row r="36" spans="1:16" x14ac:dyDescent="0.25">
      <c r="A36" s="12" t="s">
        <v>12</v>
      </c>
      <c r="D36" s="292" t="s">
        <v>22</v>
      </c>
      <c r="E36" s="24">
        <f t="shared" si="5"/>
        <v>466.5</v>
      </c>
      <c r="F36" s="24">
        <f t="shared" si="5"/>
        <v>466.5</v>
      </c>
      <c r="G36" s="24">
        <f t="shared" si="5"/>
        <v>466.5</v>
      </c>
      <c r="H36" s="24">
        <f t="shared" si="5"/>
        <v>466.5</v>
      </c>
      <c r="I36" s="24">
        <f t="shared" si="5"/>
        <v>466.5</v>
      </c>
      <c r="J36" s="24">
        <f t="shared" si="5"/>
        <v>466.5</v>
      </c>
      <c r="K36" s="24">
        <f t="shared" si="5"/>
        <v>466.5</v>
      </c>
      <c r="L36" s="24">
        <f t="shared" si="5"/>
        <v>466.5</v>
      </c>
      <c r="M36" s="24">
        <f t="shared" si="5"/>
        <v>466.5</v>
      </c>
      <c r="N36" s="24">
        <f t="shared" si="5"/>
        <v>466.5</v>
      </c>
      <c r="O36" s="24">
        <f t="shared" si="5"/>
        <v>466.5</v>
      </c>
      <c r="P36" s="24">
        <f t="shared" si="5"/>
        <v>466.5</v>
      </c>
    </row>
    <row r="37" spans="1:16" x14ac:dyDescent="0.25">
      <c r="A37" s="12" t="s">
        <v>11</v>
      </c>
      <c r="D37" s="292" t="s">
        <v>22</v>
      </c>
      <c r="E37" s="24">
        <f t="shared" si="5"/>
        <v>82.5</v>
      </c>
      <c r="F37" s="24">
        <f t="shared" si="5"/>
        <v>82.5</v>
      </c>
      <c r="G37" s="24">
        <f t="shared" si="5"/>
        <v>82.5</v>
      </c>
      <c r="H37" s="24">
        <f t="shared" si="5"/>
        <v>82.5</v>
      </c>
      <c r="I37" s="24">
        <f t="shared" si="5"/>
        <v>82.5</v>
      </c>
      <c r="J37" s="24">
        <f t="shared" si="5"/>
        <v>82.5</v>
      </c>
      <c r="K37" s="24">
        <f t="shared" si="5"/>
        <v>82.5</v>
      </c>
      <c r="L37" s="24">
        <f t="shared" si="5"/>
        <v>82.5</v>
      </c>
      <c r="M37" s="24">
        <f t="shared" si="5"/>
        <v>82.5</v>
      </c>
      <c r="N37" s="24">
        <f t="shared" si="5"/>
        <v>82.5</v>
      </c>
      <c r="O37" s="24">
        <f t="shared" si="5"/>
        <v>82.5</v>
      </c>
      <c r="P37" s="24">
        <f t="shared" si="5"/>
        <v>82.5</v>
      </c>
    </row>
    <row r="38" spans="1:16" x14ac:dyDescent="0.25">
      <c r="A38" s="12" t="s">
        <v>7</v>
      </c>
      <c r="D38" s="292" t="s">
        <v>22</v>
      </c>
      <c r="E38" s="24">
        <f t="shared" si="5"/>
        <v>264</v>
      </c>
      <c r="F38" s="24">
        <f t="shared" si="5"/>
        <v>264</v>
      </c>
      <c r="G38" s="24">
        <f t="shared" si="5"/>
        <v>264</v>
      </c>
      <c r="H38" s="24">
        <f t="shared" si="5"/>
        <v>264</v>
      </c>
      <c r="I38" s="24">
        <f t="shared" si="5"/>
        <v>264</v>
      </c>
      <c r="J38" s="24">
        <f t="shared" si="5"/>
        <v>264</v>
      </c>
      <c r="K38" s="24">
        <f t="shared" si="5"/>
        <v>264</v>
      </c>
      <c r="L38" s="24">
        <f t="shared" si="5"/>
        <v>264</v>
      </c>
      <c r="M38" s="24">
        <f t="shared" si="5"/>
        <v>264</v>
      </c>
      <c r="N38" s="24">
        <f t="shared" si="5"/>
        <v>264</v>
      </c>
      <c r="O38" s="24">
        <f t="shared" si="5"/>
        <v>264</v>
      </c>
      <c r="P38" s="24">
        <f t="shared" si="5"/>
        <v>264</v>
      </c>
    </row>
    <row r="39" spans="1:16" x14ac:dyDescent="0.25">
      <c r="A39" s="12" t="s">
        <v>8</v>
      </c>
      <c r="D39" s="292" t="s">
        <v>22</v>
      </c>
      <c r="E39" s="24">
        <f t="shared" si="5"/>
        <v>82.5</v>
      </c>
      <c r="F39" s="24">
        <f t="shared" si="5"/>
        <v>82.5</v>
      </c>
      <c r="G39" s="24">
        <f t="shared" si="5"/>
        <v>82.5</v>
      </c>
      <c r="H39" s="24">
        <f t="shared" si="5"/>
        <v>82.5</v>
      </c>
      <c r="I39" s="24">
        <f t="shared" si="5"/>
        <v>82.5</v>
      </c>
      <c r="J39" s="24">
        <f t="shared" si="5"/>
        <v>82.5</v>
      </c>
      <c r="K39" s="24">
        <f t="shared" si="5"/>
        <v>82.5</v>
      </c>
      <c r="L39" s="24">
        <f t="shared" si="5"/>
        <v>82.5</v>
      </c>
      <c r="M39" s="24">
        <f t="shared" si="5"/>
        <v>82.5</v>
      </c>
      <c r="N39" s="24">
        <f t="shared" si="5"/>
        <v>82.5</v>
      </c>
      <c r="O39" s="24">
        <f t="shared" si="5"/>
        <v>82.5</v>
      </c>
      <c r="P39" s="24">
        <f t="shared" si="5"/>
        <v>82.5</v>
      </c>
    </row>
    <row r="40" spans="1:16" x14ac:dyDescent="0.25">
      <c r="A40" s="12" t="s">
        <v>9</v>
      </c>
      <c r="D40" s="292" t="s">
        <v>22</v>
      </c>
      <c r="E40" s="24">
        <f t="shared" si="5"/>
        <v>429</v>
      </c>
      <c r="F40" s="24">
        <f t="shared" si="5"/>
        <v>429</v>
      </c>
      <c r="G40" s="24">
        <f t="shared" si="5"/>
        <v>429</v>
      </c>
      <c r="H40" s="24">
        <f t="shared" si="5"/>
        <v>429</v>
      </c>
      <c r="I40" s="24">
        <f t="shared" si="5"/>
        <v>429</v>
      </c>
      <c r="J40" s="24">
        <f t="shared" si="5"/>
        <v>429</v>
      </c>
      <c r="K40" s="24">
        <f t="shared" si="5"/>
        <v>429</v>
      </c>
      <c r="L40" s="24">
        <f t="shared" si="5"/>
        <v>429</v>
      </c>
      <c r="M40" s="24">
        <f t="shared" si="5"/>
        <v>429</v>
      </c>
      <c r="N40" s="24">
        <f t="shared" si="5"/>
        <v>429</v>
      </c>
      <c r="O40" s="24">
        <f t="shared" si="5"/>
        <v>429</v>
      </c>
      <c r="P40" s="24">
        <f t="shared" si="5"/>
        <v>429</v>
      </c>
    </row>
    <row r="41" spans="1:16" x14ac:dyDescent="0.25">
      <c r="A41" s="12" t="s">
        <v>10</v>
      </c>
      <c r="D41" s="292" t="s">
        <v>22</v>
      </c>
      <c r="E41" s="24">
        <f t="shared" si="5"/>
        <v>16.5</v>
      </c>
      <c r="F41" s="24">
        <f t="shared" si="5"/>
        <v>16.5</v>
      </c>
      <c r="G41" s="24">
        <f t="shared" si="5"/>
        <v>16.5</v>
      </c>
      <c r="H41" s="24">
        <f t="shared" si="5"/>
        <v>16.5</v>
      </c>
      <c r="I41" s="24">
        <f t="shared" si="5"/>
        <v>16.5</v>
      </c>
      <c r="J41" s="24">
        <f t="shared" si="5"/>
        <v>16.5</v>
      </c>
      <c r="K41" s="24">
        <f t="shared" si="5"/>
        <v>16.5</v>
      </c>
      <c r="L41" s="24">
        <f t="shared" si="5"/>
        <v>16.5</v>
      </c>
      <c r="M41" s="24">
        <f t="shared" si="5"/>
        <v>16.5</v>
      </c>
      <c r="N41" s="24">
        <f t="shared" si="5"/>
        <v>16.5</v>
      </c>
      <c r="O41" s="24">
        <f t="shared" si="5"/>
        <v>16.5</v>
      </c>
      <c r="P41" s="24">
        <f t="shared" si="5"/>
        <v>16.5</v>
      </c>
    </row>
    <row r="42" spans="1:16" x14ac:dyDescent="0.25">
      <c r="A42" s="12"/>
      <c r="D42" s="292"/>
      <c r="E42" s="24"/>
      <c r="F42" s="24"/>
      <c r="G42" s="24"/>
      <c r="H42" s="24"/>
      <c r="I42" s="24"/>
      <c r="J42" s="24"/>
      <c r="K42" s="24"/>
      <c r="L42" s="24"/>
      <c r="M42" s="24"/>
      <c r="N42" s="24"/>
      <c r="O42" s="24"/>
      <c r="P42" s="24"/>
    </row>
    <row r="43" spans="1:16" x14ac:dyDescent="0.25">
      <c r="A43" s="143" t="s">
        <v>162</v>
      </c>
      <c r="D43" s="305" t="s">
        <v>22</v>
      </c>
      <c r="E43" s="25">
        <f>'Изходни данни'!C41</f>
        <v>300</v>
      </c>
      <c r="F43" s="25">
        <f>'Изходни данни'!D41</f>
        <v>300</v>
      </c>
      <c r="G43" s="25">
        <f>'Изходни данни'!E41</f>
        <v>300</v>
      </c>
      <c r="H43" s="25">
        <f>'Изходни данни'!F41</f>
        <v>300</v>
      </c>
      <c r="I43" s="25">
        <f>'Изходни данни'!G41</f>
        <v>300</v>
      </c>
      <c r="J43" s="25">
        <f>'Изходни данни'!H41</f>
        <v>300</v>
      </c>
      <c r="K43" s="25">
        <f>'Изходни данни'!I41</f>
        <v>300</v>
      </c>
      <c r="L43" s="25">
        <f>'Изходни данни'!J41</f>
        <v>300</v>
      </c>
      <c r="M43" s="25">
        <f>'Изходни данни'!K41</f>
        <v>300</v>
      </c>
      <c r="N43" s="25">
        <f>'Изходни данни'!L41</f>
        <v>300</v>
      </c>
      <c r="O43" s="25">
        <f>'Изходни данни'!M41</f>
        <v>300</v>
      </c>
      <c r="P43" s="25">
        <f>'Изходни данни'!N41</f>
        <v>300</v>
      </c>
    </row>
    <row r="44" spans="1:16" ht="12" customHeight="1" x14ac:dyDescent="0.25">
      <c r="A44" s="12" t="s">
        <v>0</v>
      </c>
      <c r="C44" s="18"/>
      <c r="D44" s="292" t="s">
        <v>22</v>
      </c>
      <c r="E44" s="24">
        <f>E59*E$43</f>
        <v>63</v>
      </c>
      <c r="F44" s="24">
        <f t="shared" ref="F44:P44" si="6">F59*F$43</f>
        <v>63</v>
      </c>
      <c r="G44" s="24">
        <f t="shared" si="6"/>
        <v>63</v>
      </c>
      <c r="H44" s="24">
        <f t="shared" si="6"/>
        <v>63</v>
      </c>
      <c r="I44" s="24">
        <f t="shared" si="6"/>
        <v>63</v>
      </c>
      <c r="J44" s="24">
        <f t="shared" si="6"/>
        <v>63</v>
      </c>
      <c r="K44" s="24">
        <f t="shared" si="6"/>
        <v>63</v>
      </c>
      <c r="L44" s="24">
        <f t="shared" si="6"/>
        <v>63</v>
      </c>
      <c r="M44" s="24">
        <f t="shared" si="6"/>
        <v>63</v>
      </c>
      <c r="N44" s="24">
        <f t="shared" si="6"/>
        <v>63</v>
      </c>
      <c r="O44" s="24">
        <f t="shared" si="6"/>
        <v>63</v>
      </c>
      <c r="P44" s="24">
        <f t="shared" si="6"/>
        <v>63</v>
      </c>
    </row>
    <row r="45" spans="1:16" ht="12" customHeight="1" x14ac:dyDescent="0.25">
      <c r="A45" s="12" t="s">
        <v>1</v>
      </c>
      <c r="C45" s="18"/>
      <c r="D45" s="292" t="s">
        <v>22</v>
      </c>
      <c r="E45" s="24">
        <f t="shared" ref="E45:P56" si="7">E60*E$43</f>
        <v>39</v>
      </c>
      <c r="F45" s="24">
        <f t="shared" si="7"/>
        <v>39</v>
      </c>
      <c r="G45" s="24">
        <f t="shared" si="7"/>
        <v>39</v>
      </c>
      <c r="H45" s="24">
        <f t="shared" si="7"/>
        <v>39</v>
      </c>
      <c r="I45" s="24">
        <f t="shared" si="7"/>
        <v>39</v>
      </c>
      <c r="J45" s="24">
        <f t="shared" si="7"/>
        <v>39</v>
      </c>
      <c r="K45" s="24">
        <f t="shared" si="7"/>
        <v>39</v>
      </c>
      <c r="L45" s="24">
        <f t="shared" si="7"/>
        <v>39</v>
      </c>
      <c r="M45" s="24">
        <f t="shared" si="7"/>
        <v>39</v>
      </c>
      <c r="N45" s="24">
        <f t="shared" si="7"/>
        <v>39</v>
      </c>
      <c r="O45" s="24">
        <f t="shared" si="7"/>
        <v>39</v>
      </c>
      <c r="P45" s="24">
        <f t="shared" si="7"/>
        <v>39</v>
      </c>
    </row>
    <row r="46" spans="1:16" ht="12" customHeight="1" x14ac:dyDescent="0.25">
      <c r="A46" s="12" t="s">
        <v>2</v>
      </c>
      <c r="C46" s="18"/>
      <c r="D46" s="292" t="s">
        <v>22</v>
      </c>
      <c r="E46" s="24">
        <f t="shared" si="7"/>
        <v>42.000000000000007</v>
      </c>
      <c r="F46" s="24">
        <f t="shared" si="7"/>
        <v>42.000000000000007</v>
      </c>
      <c r="G46" s="24">
        <f t="shared" si="7"/>
        <v>42.000000000000007</v>
      </c>
      <c r="H46" s="24">
        <f t="shared" si="7"/>
        <v>42.000000000000007</v>
      </c>
      <c r="I46" s="24">
        <f t="shared" si="7"/>
        <v>42.000000000000007</v>
      </c>
      <c r="J46" s="24">
        <f t="shared" si="7"/>
        <v>42.000000000000007</v>
      </c>
      <c r="K46" s="24">
        <f t="shared" si="7"/>
        <v>42.000000000000007</v>
      </c>
      <c r="L46" s="24">
        <f t="shared" si="7"/>
        <v>42.000000000000007</v>
      </c>
      <c r="M46" s="24">
        <f t="shared" si="7"/>
        <v>42.000000000000007</v>
      </c>
      <c r="N46" s="24">
        <f t="shared" si="7"/>
        <v>42.000000000000007</v>
      </c>
      <c r="O46" s="24">
        <f t="shared" si="7"/>
        <v>42.000000000000007</v>
      </c>
      <c r="P46" s="24">
        <f t="shared" si="7"/>
        <v>42.000000000000007</v>
      </c>
    </row>
    <row r="47" spans="1:16" ht="12" customHeight="1" x14ac:dyDescent="0.25">
      <c r="A47" s="12" t="s">
        <v>3</v>
      </c>
      <c r="C47" s="18"/>
      <c r="D47" s="292" t="s">
        <v>22</v>
      </c>
      <c r="E47" s="24">
        <f t="shared" si="7"/>
        <v>42.000000000000007</v>
      </c>
      <c r="F47" s="24">
        <f t="shared" si="7"/>
        <v>42.000000000000007</v>
      </c>
      <c r="G47" s="24">
        <f t="shared" si="7"/>
        <v>42.000000000000007</v>
      </c>
      <c r="H47" s="24">
        <f t="shared" si="7"/>
        <v>42.000000000000007</v>
      </c>
      <c r="I47" s="24">
        <f t="shared" si="7"/>
        <v>42.000000000000007</v>
      </c>
      <c r="J47" s="24">
        <f t="shared" si="7"/>
        <v>42.000000000000007</v>
      </c>
      <c r="K47" s="24">
        <f t="shared" si="7"/>
        <v>42.000000000000007</v>
      </c>
      <c r="L47" s="24">
        <f t="shared" si="7"/>
        <v>42.000000000000007</v>
      </c>
      <c r="M47" s="24">
        <f t="shared" si="7"/>
        <v>42.000000000000007</v>
      </c>
      <c r="N47" s="24">
        <f t="shared" si="7"/>
        <v>42.000000000000007</v>
      </c>
      <c r="O47" s="24">
        <f t="shared" si="7"/>
        <v>42.000000000000007</v>
      </c>
      <c r="P47" s="24">
        <f t="shared" si="7"/>
        <v>42.000000000000007</v>
      </c>
    </row>
    <row r="48" spans="1:16" ht="12" customHeight="1" x14ac:dyDescent="0.25">
      <c r="A48" s="12" t="s">
        <v>4</v>
      </c>
      <c r="C48" s="18"/>
      <c r="D48" s="292" t="s">
        <v>22</v>
      </c>
      <c r="E48" s="24">
        <f t="shared" si="7"/>
        <v>12</v>
      </c>
      <c r="F48" s="24">
        <f t="shared" si="7"/>
        <v>12</v>
      </c>
      <c r="G48" s="24">
        <f t="shared" si="7"/>
        <v>12</v>
      </c>
      <c r="H48" s="24">
        <f t="shared" si="7"/>
        <v>12</v>
      </c>
      <c r="I48" s="24">
        <f t="shared" si="7"/>
        <v>12</v>
      </c>
      <c r="J48" s="24">
        <f t="shared" si="7"/>
        <v>12</v>
      </c>
      <c r="K48" s="24">
        <f t="shared" si="7"/>
        <v>12</v>
      </c>
      <c r="L48" s="24">
        <f t="shared" si="7"/>
        <v>12</v>
      </c>
      <c r="M48" s="24">
        <f t="shared" si="7"/>
        <v>12</v>
      </c>
      <c r="N48" s="24">
        <f t="shared" si="7"/>
        <v>12</v>
      </c>
      <c r="O48" s="24">
        <f t="shared" si="7"/>
        <v>12</v>
      </c>
      <c r="P48" s="24">
        <f t="shared" si="7"/>
        <v>12</v>
      </c>
    </row>
    <row r="49" spans="1:25" ht="12" customHeight="1" x14ac:dyDescent="0.25">
      <c r="A49" s="12" t="s">
        <v>5</v>
      </c>
      <c r="C49" s="18"/>
      <c r="D49" s="292" t="s">
        <v>22</v>
      </c>
      <c r="E49" s="24">
        <f t="shared" si="7"/>
        <v>3</v>
      </c>
      <c r="F49" s="24">
        <f t="shared" si="7"/>
        <v>3</v>
      </c>
      <c r="G49" s="24">
        <f t="shared" si="7"/>
        <v>3</v>
      </c>
      <c r="H49" s="24">
        <f t="shared" si="7"/>
        <v>3</v>
      </c>
      <c r="I49" s="24">
        <f t="shared" si="7"/>
        <v>3</v>
      </c>
      <c r="J49" s="24">
        <f t="shared" si="7"/>
        <v>3</v>
      </c>
      <c r="K49" s="24">
        <f t="shared" si="7"/>
        <v>3</v>
      </c>
      <c r="L49" s="24">
        <f t="shared" si="7"/>
        <v>3</v>
      </c>
      <c r="M49" s="24">
        <f t="shared" si="7"/>
        <v>3</v>
      </c>
      <c r="N49" s="24">
        <f t="shared" si="7"/>
        <v>3</v>
      </c>
      <c r="O49" s="24">
        <f t="shared" si="7"/>
        <v>3</v>
      </c>
      <c r="P49" s="24">
        <f t="shared" si="7"/>
        <v>3</v>
      </c>
    </row>
    <row r="50" spans="1:25" ht="12" customHeight="1" x14ac:dyDescent="0.25">
      <c r="A50" s="12" t="s">
        <v>6</v>
      </c>
      <c r="C50" s="18"/>
      <c r="D50" s="292" t="s">
        <v>22</v>
      </c>
      <c r="E50" s="24">
        <f t="shared" si="7"/>
        <v>3</v>
      </c>
      <c r="F50" s="24">
        <f t="shared" si="7"/>
        <v>3</v>
      </c>
      <c r="G50" s="24">
        <f t="shared" si="7"/>
        <v>3</v>
      </c>
      <c r="H50" s="24">
        <f t="shared" si="7"/>
        <v>3</v>
      </c>
      <c r="I50" s="24">
        <f t="shared" si="7"/>
        <v>3</v>
      </c>
      <c r="J50" s="24">
        <f t="shared" si="7"/>
        <v>3</v>
      </c>
      <c r="K50" s="24">
        <f t="shared" si="7"/>
        <v>3</v>
      </c>
      <c r="L50" s="24">
        <f t="shared" si="7"/>
        <v>3</v>
      </c>
      <c r="M50" s="24">
        <f t="shared" si="7"/>
        <v>3</v>
      </c>
      <c r="N50" s="24">
        <f t="shared" si="7"/>
        <v>3</v>
      </c>
      <c r="O50" s="24">
        <f t="shared" si="7"/>
        <v>3</v>
      </c>
      <c r="P50" s="24">
        <f t="shared" si="7"/>
        <v>3</v>
      </c>
    </row>
    <row r="51" spans="1:25" ht="12" customHeight="1" x14ac:dyDescent="0.25">
      <c r="A51" s="12" t="s">
        <v>12</v>
      </c>
      <c r="C51" s="14"/>
      <c r="D51" s="292" t="s">
        <v>22</v>
      </c>
      <c r="E51" s="24">
        <f t="shared" si="7"/>
        <v>16.5</v>
      </c>
      <c r="F51" s="24">
        <f t="shared" si="7"/>
        <v>16.5</v>
      </c>
      <c r="G51" s="24">
        <f t="shared" si="7"/>
        <v>16.5</v>
      </c>
      <c r="H51" s="24">
        <f t="shared" si="7"/>
        <v>16.5</v>
      </c>
      <c r="I51" s="24">
        <f t="shared" si="7"/>
        <v>16.5</v>
      </c>
      <c r="J51" s="24">
        <f t="shared" si="7"/>
        <v>16.5</v>
      </c>
      <c r="K51" s="24">
        <f t="shared" si="7"/>
        <v>16.5</v>
      </c>
      <c r="L51" s="24">
        <f t="shared" si="7"/>
        <v>16.5</v>
      </c>
      <c r="M51" s="24">
        <f t="shared" si="7"/>
        <v>16.5</v>
      </c>
      <c r="N51" s="24">
        <f t="shared" si="7"/>
        <v>16.5</v>
      </c>
      <c r="O51" s="24">
        <f t="shared" si="7"/>
        <v>16.5</v>
      </c>
      <c r="P51" s="24">
        <f t="shared" si="7"/>
        <v>16.5</v>
      </c>
    </row>
    <row r="52" spans="1:25" ht="12" customHeight="1" x14ac:dyDescent="0.25">
      <c r="A52" s="12" t="s">
        <v>11</v>
      </c>
      <c r="C52" s="14"/>
      <c r="D52" s="292" t="s">
        <v>22</v>
      </c>
      <c r="E52" s="24">
        <f t="shared" si="7"/>
        <v>7.5</v>
      </c>
      <c r="F52" s="24">
        <f t="shared" si="7"/>
        <v>7.5</v>
      </c>
      <c r="G52" s="24">
        <f t="shared" si="7"/>
        <v>7.5</v>
      </c>
      <c r="H52" s="24">
        <f t="shared" si="7"/>
        <v>7.5</v>
      </c>
      <c r="I52" s="24">
        <f t="shared" si="7"/>
        <v>7.5</v>
      </c>
      <c r="J52" s="24">
        <f t="shared" si="7"/>
        <v>7.5</v>
      </c>
      <c r="K52" s="24">
        <f t="shared" si="7"/>
        <v>7.5</v>
      </c>
      <c r="L52" s="24">
        <f t="shared" si="7"/>
        <v>7.5</v>
      </c>
      <c r="M52" s="24">
        <f t="shared" si="7"/>
        <v>7.5</v>
      </c>
      <c r="N52" s="24">
        <f t="shared" si="7"/>
        <v>7.5</v>
      </c>
      <c r="O52" s="24">
        <f t="shared" si="7"/>
        <v>7.5</v>
      </c>
      <c r="P52" s="24">
        <f t="shared" si="7"/>
        <v>7.5</v>
      </c>
    </row>
    <row r="53" spans="1:25" ht="12" customHeight="1" x14ac:dyDescent="0.25">
      <c r="A53" s="12" t="s">
        <v>7</v>
      </c>
      <c r="C53" s="18"/>
      <c r="D53" s="292" t="s">
        <v>22</v>
      </c>
      <c r="E53" s="24">
        <f t="shared" si="7"/>
        <v>24</v>
      </c>
      <c r="F53" s="24">
        <f t="shared" si="7"/>
        <v>24</v>
      </c>
      <c r="G53" s="24">
        <f t="shared" si="7"/>
        <v>24</v>
      </c>
      <c r="H53" s="24">
        <f t="shared" si="7"/>
        <v>24</v>
      </c>
      <c r="I53" s="24">
        <f t="shared" si="7"/>
        <v>24</v>
      </c>
      <c r="J53" s="24">
        <f t="shared" si="7"/>
        <v>24</v>
      </c>
      <c r="K53" s="24">
        <f t="shared" si="7"/>
        <v>24</v>
      </c>
      <c r="L53" s="24">
        <f t="shared" si="7"/>
        <v>24</v>
      </c>
      <c r="M53" s="24">
        <f t="shared" si="7"/>
        <v>24</v>
      </c>
      <c r="N53" s="24">
        <f t="shared" si="7"/>
        <v>24</v>
      </c>
      <c r="O53" s="24">
        <f t="shared" si="7"/>
        <v>24</v>
      </c>
      <c r="P53" s="24">
        <f t="shared" si="7"/>
        <v>24</v>
      </c>
    </row>
    <row r="54" spans="1:25" ht="12" customHeight="1" x14ac:dyDescent="0.25">
      <c r="A54" s="12" t="s">
        <v>8</v>
      </c>
      <c r="C54" s="14"/>
      <c r="D54" s="292" t="s">
        <v>22</v>
      </c>
      <c r="E54" s="24">
        <f t="shared" si="7"/>
        <v>7.5</v>
      </c>
      <c r="F54" s="24">
        <f t="shared" si="7"/>
        <v>7.5</v>
      </c>
      <c r="G54" s="24">
        <f t="shared" si="7"/>
        <v>7.5</v>
      </c>
      <c r="H54" s="24">
        <f t="shared" si="7"/>
        <v>7.5</v>
      </c>
      <c r="I54" s="24">
        <f t="shared" si="7"/>
        <v>7.5</v>
      </c>
      <c r="J54" s="24">
        <f t="shared" si="7"/>
        <v>7.5</v>
      </c>
      <c r="K54" s="24">
        <f t="shared" si="7"/>
        <v>7.5</v>
      </c>
      <c r="L54" s="24">
        <f t="shared" si="7"/>
        <v>7.5</v>
      </c>
      <c r="M54" s="24">
        <f t="shared" si="7"/>
        <v>7.5</v>
      </c>
      <c r="N54" s="24">
        <f t="shared" si="7"/>
        <v>7.5</v>
      </c>
      <c r="O54" s="24">
        <f t="shared" si="7"/>
        <v>7.5</v>
      </c>
      <c r="P54" s="24">
        <f t="shared" si="7"/>
        <v>7.5</v>
      </c>
    </row>
    <row r="55" spans="1:25" ht="12" customHeight="1" x14ac:dyDescent="0.25">
      <c r="A55" s="12" t="s">
        <v>9</v>
      </c>
      <c r="C55" s="14"/>
      <c r="D55" s="292" t="s">
        <v>22</v>
      </c>
      <c r="E55" s="24">
        <f t="shared" si="7"/>
        <v>39</v>
      </c>
      <c r="F55" s="24">
        <f t="shared" si="7"/>
        <v>39</v>
      </c>
      <c r="G55" s="24">
        <f t="shared" si="7"/>
        <v>39</v>
      </c>
      <c r="H55" s="24">
        <f t="shared" si="7"/>
        <v>39</v>
      </c>
      <c r="I55" s="24">
        <f t="shared" si="7"/>
        <v>39</v>
      </c>
      <c r="J55" s="24">
        <f t="shared" si="7"/>
        <v>39</v>
      </c>
      <c r="K55" s="24">
        <f t="shared" si="7"/>
        <v>39</v>
      </c>
      <c r="L55" s="24">
        <f t="shared" si="7"/>
        <v>39</v>
      </c>
      <c r="M55" s="24">
        <f t="shared" si="7"/>
        <v>39</v>
      </c>
      <c r="N55" s="24">
        <f t="shared" si="7"/>
        <v>39</v>
      </c>
      <c r="O55" s="24">
        <f t="shared" si="7"/>
        <v>39</v>
      </c>
      <c r="P55" s="24">
        <f t="shared" si="7"/>
        <v>39</v>
      </c>
    </row>
    <row r="56" spans="1:25" ht="12" customHeight="1" x14ac:dyDescent="0.25">
      <c r="A56" s="12" t="s">
        <v>10</v>
      </c>
      <c r="C56" s="14"/>
      <c r="D56" s="292" t="s">
        <v>22</v>
      </c>
      <c r="E56" s="24">
        <f t="shared" si="7"/>
        <v>1.5</v>
      </c>
      <c r="F56" s="24">
        <f t="shared" si="7"/>
        <v>1.5</v>
      </c>
      <c r="G56" s="24">
        <f t="shared" si="7"/>
        <v>1.5</v>
      </c>
      <c r="H56" s="24">
        <f t="shared" si="7"/>
        <v>1.5</v>
      </c>
      <c r="I56" s="24">
        <f t="shared" si="7"/>
        <v>1.5</v>
      </c>
      <c r="J56" s="24">
        <f t="shared" si="7"/>
        <v>1.5</v>
      </c>
      <c r="K56" s="24">
        <f t="shared" si="7"/>
        <v>1.5</v>
      </c>
      <c r="L56" s="24">
        <f t="shared" si="7"/>
        <v>1.5</v>
      </c>
      <c r="M56" s="24">
        <f t="shared" si="7"/>
        <v>1.5</v>
      </c>
      <c r="N56" s="24">
        <f t="shared" si="7"/>
        <v>1.5</v>
      </c>
      <c r="O56" s="24">
        <f t="shared" si="7"/>
        <v>1.5</v>
      </c>
      <c r="P56" s="24">
        <f t="shared" si="7"/>
        <v>1.5</v>
      </c>
    </row>
    <row r="57" spans="1:25" ht="12" customHeight="1" x14ac:dyDescent="0.25">
      <c r="A57" s="12"/>
      <c r="C57" s="14"/>
      <c r="D57" s="292"/>
      <c r="E57" s="24"/>
      <c r="F57" s="24"/>
      <c r="G57" s="24"/>
      <c r="H57" s="24"/>
      <c r="I57" s="24"/>
      <c r="J57" s="24"/>
      <c r="K57" s="24"/>
      <c r="L57" s="24"/>
      <c r="M57" s="24"/>
      <c r="N57" s="24"/>
      <c r="O57" s="24"/>
      <c r="P57" s="24"/>
    </row>
    <row r="58" spans="1:25" s="11" customFormat="1" ht="30" x14ac:dyDescent="0.25">
      <c r="A58" s="144" t="s">
        <v>163</v>
      </c>
      <c r="D58" s="290" t="s">
        <v>19</v>
      </c>
      <c r="E58" s="449">
        <f>SUM(E59:E71)</f>
        <v>1</v>
      </c>
      <c r="F58" s="449">
        <f t="shared" ref="F58:P58" si="8">SUM(F59:F71)</f>
        <v>1</v>
      </c>
      <c r="G58" s="449">
        <f t="shared" si="8"/>
        <v>1</v>
      </c>
      <c r="H58" s="449">
        <f t="shared" si="8"/>
        <v>1</v>
      </c>
      <c r="I58" s="449">
        <f t="shared" si="8"/>
        <v>1</v>
      </c>
      <c r="J58" s="449">
        <f t="shared" si="8"/>
        <v>1</v>
      </c>
      <c r="K58" s="449">
        <f t="shared" si="8"/>
        <v>1</v>
      </c>
      <c r="L58" s="449">
        <f t="shared" si="8"/>
        <v>1</v>
      </c>
      <c r="M58" s="449">
        <f t="shared" si="8"/>
        <v>1</v>
      </c>
      <c r="N58" s="449">
        <f t="shared" si="8"/>
        <v>1</v>
      </c>
      <c r="O58" s="449">
        <f t="shared" si="8"/>
        <v>1</v>
      </c>
      <c r="P58" s="449">
        <f t="shared" si="8"/>
        <v>1</v>
      </c>
    </row>
    <row r="59" spans="1:25" s="11" customFormat="1" x14ac:dyDescent="0.25">
      <c r="A59" s="12" t="s">
        <v>0</v>
      </c>
      <c r="D59" s="290" t="s">
        <v>19</v>
      </c>
      <c r="E59" s="449">
        <f>'Изходни данни'!C44</f>
        <v>0.21</v>
      </c>
      <c r="F59" s="449">
        <f>'Изходни данни'!D44</f>
        <v>0.21</v>
      </c>
      <c r="G59" s="449">
        <f>'Изходни данни'!E44</f>
        <v>0.21</v>
      </c>
      <c r="H59" s="449">
        <f>'Изходни данни'!F44</f>
        <v>0.21</v>
      </c>
      <c r="I59" s="449">
        <f>'Изходни данни'!G44</f>
        <v>0.21</v>
      </c>
      <c r="J59" s="449">
        <f>'Изходни данни'!H44</f>
        <v>0.21</v>
      </c>
      <c r="K59" s="449">
        <f>'Изходни данни'!I44</f>
        <v>0.21</v>
      </c>
      <c r="L59" s="449">
        <f>'Изходни данни'!J44</f>
        <v>0.21</v>
      </c>
      <c r="M59" s="449">
        <f>'Изходни данни'!K44</f>
        <v>0.21</v>
      </c>
      <c r="N59" s="449">
        <f>'Изходни данни'!L44</f>
        <v>0.21</v>
      </c>
      <c r="O59" s="449">
        <f>'Изходни данни'!M44</f>
        <v>0.21</v>
      </c>
      <c r="P59" s="449">
        <f>'Изходни данни'!N44</f>
        <v>0.21</v>
      </c>
      <c r="Q59" s="9"/>
      <c r="R59" s="9"/>
      <c r="S59" s="9"/>
      <c r="T59" s="9"/>
      <c r="U59" s="9"/>
      <c r="V59" s="9"/>
      <c r="W59" s="9"/>
      <c r="X59" s="9"/>
      <c r="Y59" s="9"/>
    </row>
    <row r="60" spans="1:25" s="11" customFormat="1" x14ac:dyDescent="0.25">
      <c r="A60" s="12" t="s">
        <v>1</v>
      </c>
      <c r="D60" s="290" t="s">
        <v>19</v>
      </c>
      <c r="E60" s="449">
        <f>'Изходни данни'!C45</f>
        <v>0.13</v>
      </c>
      <c r="F60" s="449">
        <f>'Изходни данни'!D45</f>
        <v>0.13</v>
      </c>
      <c r="G60" s="449">
        <f>'Изходни данни'!E45</f>
        <v>0.13</v>
      </c>
      <c r="H60" s="449">
        <f>'Изходни данни'!F45</f>
        <v>0.13</v>
      </c>
      <c r="I60" s="449">
        <f>'Изходни данни'!G45</f>
        <v>0.13</v>
      </c>
      <c r="J60" s="449">
        <f>'Изходни данни'!H45</f>
        <v>0.13</v>
      </c>
      <c r="K60" s="449">
        <f>'Изходни данни'!I45</f>
        <v>0.13</v>
      </c>
      <c r="L60" s="449">
        <f>'Изходни данни'!J45</f>
        <v>0.13</v>
      </c>
      <c r="M60" s="449">
        <f>'Изходни данни'!K45</f>
        <v>0.13</v>
      </c>
      <c r="N60" s="449">
        <f>'Изходни данни'!L45</f>
        <v>0.13</v>
      </c>
      <c r="O60" s="449">
        <f>'Изходни данни'!M45</f>
        <v>0.13</v>
      </c>
      <c r="P60" s="449">
        <f>'Изходни данни'!N45</f>
        <v>0.13</v>
      </c>
      <c r="Q60" s="9"/>
      <c r="R60" s="9"/>
      <c r="S60" s="9"/>
      <c r="T60" s="9"/>
      <c r="U60" s="9"/>
      <c r="V60" s="9"/>
      <c r="W60" s="9"/>
      <c r="X60" s="9"/>
      <c r="Y60" s="9"/>
    </row>
    <row r="61" spans="1:25" s="11" customFormat="1" x14ac:dyDescent="0.25">
      <c r="A61" s="12" t="s">
        <v>2</v>
      </c>
      <c r="D61" s="290" t="s">
        <v>19</v>
      </c>
      <c r="E61" s="449">
        <f>'Изходни данни'!C46</f>
        <v>0.14000000000000001</v>
      </c>
      <c r="F61" s="449">
        <f>'Изходни данни'!D46</f>
        <v>0.14000000000000001</v>
      </c>
      <c r="G61" s="449">
        <f>'Изходни данни'!E46</f>
        <v>0.14000000000000001</v>
      </c>
      <c r="H61" s="449">
        <f>'Изходни данни'!F46</f>
        <v>0.14000000000000001</v>
      </c>
      <c r="I61" s="449">
        <f>'Изходни данни'!G46</f>
        <v>0.14000000000000001</v>
      </c>
      <c r="J61" s="449">
        <f>'Изходни данни'!H46</f>
        <v>0.14000000000000001</v>
      </c>
      <c r="K61" s="449">
        <f>'Изходни данни'!I46</f>
        <v>0.14000000000000001</v>
      </c>
      <c r="L61" s="449">
        <f>'Изходни данни'!J46</f>
        <v>0.14000000000000001</v>
      </c>
      <c r="M61" s="449">
        <f>'Изходни данни'!K46</f>
        <v>0.14000000000000001</v>
      </c>
      <c r="N61" s="449">
        <f>'Изходни данни'!L46</f>
        <v>0.14000000000000001</v>
      </c>
      <c r="O61" s="449">
        <f>'Изходни данни'!M46</f>
        <v>0.14000000000000001</v>
      </c>
      <c r="P61" s="449">
        <f>'Изходни данни'!N46</f>
        <v>0.14000000000000001</v>
      </c>
      <c r="Q61" s="9"/>
      <c r="R61" s="9"/>
      <c r="S61" s="9"/>
      <c r="T61" s="9"/>
      <c r="U61" s="9"/>
      <c r="V61" s="9"/>
      <c r="W61" s="9"/>
      <c r="X61" s="9"/>
      <c r="Y61" s="9"/>
    </row>
    <row r="62" spans="1:25" s="11" customFormat="1" x14ac:dyDescent="0.25">
      <c r="A62" s="12" t="s">
        <v>3</v>
      </c>
      <c r="D62" s="290" t="s">
        <v>19</v>
      </c>
      <c r="E62" s="449">
        <f>'Изходни данни'!C47</f>
        <v>0.14000000000000001</v>
      </c>
      <c r="F62" s="449">
        <f>'Изходни данни'!D47</f>
        <v>0.14000000000000001</v>
      </c>
      <c r="G62" s="449">
        <f>'Изходни данни'!E47</f>
        <v>0.14000000000000001</v>
      </c>
      <c r="H62" s="449">
        <f>'Изходни данни'!F47</f>
        <v>0.14000000000000001</v>
      </c>
      <c r="I62" s="449">
        <f>'Изходни данни'!G47</f>
        <v>0.14000000000000001</v>
      </c>
      <c r="J62" s="449">
        <f>'Изходни данни'!H47</f>
        <v>0.14000000000000001</v>
      </c>
      <c r="K62" s="449">
        <f>'Изходни данни'!I47</f>
        <v>0.14000000000000001</v>
      </c>
      <c r="L62" s="449">
        <f>'Изходни данни'!J47</f>
        <v>0.14000000000000001</v>
      </c>
      <c r="M62" s="449">
        <f>'Изходни данни'!K47</f>
        <v>0.14000000000000001</v>
      </c>
      <c r="N62" s="449">
        <f>'Изходни данни'!L47</f>
        <v>0.14000000000000001</v>
      </c>
      <c r="O62" s="449">
        <f>'Изходни данни'!M47</f>
        <v>0.14000000000000001</v>
      </c>
      <c r="P62" s="449">
        <f>'Изходни данни'!N47</f>
        <v>0.14000000000000001</v>
      </c>
      <c r="Q62" s="9"/>
      <c r="R62" s="9"/>
      <c r="S62" s="9"/>
      <c r="T62" s="9"/>
      <c r="U62" s="9"/>
      <c r="V62" s="9"/>
      <c r="W62" s="9"/>
      <c r="X62" s="9"/>
      <c r="Y62" s="9"/>
    </row>
    <row r="63" spans="1:25" s="11" customFormat="1" x14ac:dyDescent="0.25">
      <c r="A63" s="12" t="s">
        <v>4</v>
      </c>
      <c r="D63" s="290" t="s">
        <v>19</v>
      </c>
      <c r="E63" s="449">
        <f>'Изходни данни'!C48</f>
        <v>0.04</v>
      </c>
      <c r="F63" s="449">
        <f>'Изходни данни'!D48</f>
        <v>0.04</v>
      </c>
      <c r="G63" s="449">
        <f>'Изходни данни'!E48</f>
        <v>0.04</v>
      </c>
      <c r="H63" s="449">
        <f>'Изходни данни'!F48</f>
        <v>0.04</v>
      </c>
      <c r="I63" s="449">
        <f>'Изходни данни'!G48</f>
        <v>0.04</v>
      </c>
      <c r="J63" s="449">
        <f>'Изходни данни'!H48</f>
        <v>0.04</v>
      </c>
      <c r="K63" s="449">
        <f>'Изходни данни'!I48</f>
        <v>0.04</v>
      </c>
      <c r="L63" s="449">
        <f>'Изходни данни'!J48</f>
        <v>0.04</v>
      </c>
      <c r="M63" s="449">
        <f>'Изходни данни'!K48</f>
        <v>0.04</v>
      </c>
      <c r="N63" s="449">
        <f>'Изходни данни'!L48</f>
        <v>0.04</v>
      </c>
      <c r="O63" s="449">
        <f>'Изходни данни'!M48</f>
        <v>0.04</v>
      </c>
      <c r="P63" s="449">
        <f>'Изходни данни'!N48</f>
        <v>0.04</v>
      </c>
      <c r="Q63" s="9"/>
      <c r="R63" s="9"/>
      <c r="S63" s="9"/>
      <c r="T63" s="9"/>
      <c r="U63" s="9"/>
      <c r="V63" s="9"/>
      <c r="W63" s="9"/>
      <c r="X63" s="9"/>
      <c r="Y63" s="9"/>
    </row>
    <row r="64" spans="1:25" s="11" customFormat="1" x14ac:dyDescent="0.25">
      <c r="A64" s="12" t="s">
        <v>5</v>
      </c>
      <c r="D64" s="290" t="s">
        <v>19</v>
      </c>
      <c r="E64" s="449">
        <f>'Изходни данни'!C49</f>
        <v>0.01</v>
      </c>
      <c r="F64" s="449">
        <f>'Изходни данни'!D49</f>
        <v>0.01</v>
      </c>
      <c r="G64" s="449">
        <f>'Изходни данни'!E49</f>
        <v>0.01</v>
      </c>
      <c r="H64" s="449">
        <f>'Изходни данни'!F49</f>
        <v>0.01</v>
      </c>
      <c r="I64" s="449">
        <f>'Изходни данни'!G49</f>
        <v>0.01</v>
      </c>
      <c r="J64" s="449">
        <f>'Изходни данни'!H49</f>
        <v>0.01</v>
      </c>
      <c r="K64" s="449">
        <f>'Изходни данни'!I49</f>
        <v>0.01</v>
      </c>
      <c r="L64" s="449">
        <f>'Изходни данни'!J49</f>
        <v>0.01</v>
      </c>
      <c r="M64" s="449">
        <f>'Изходни данни'!K49</f>
        <v>0.01</v>
      </c>
      <c r="N64" s="449">
        <f>'Изходни данни'!L49</f>
        <v>0.01</v>
      </c>
      <c r="O64" s="449">
        <f>'Изходни данни'!M49</f>
        <v>0.01</v>
      </c>
      <c r="P64" s="449">
        <f>'Изходни данни'!N49</f>
        <v>0.01</v>
      </c>
      <c r="Q64" s="9"/>
      <c r="R64" s="9"/>
      <c r="S64" s="9"/>
      <c r="T64" s="9"/>
      <c r="U64" s="9"/>
      <c r="V64" s="9"/>
      <c r="W64" s="9"/>
      <c r="X64" s="9"/>
      <c r="Y64" s="9"/>
    </row>
    <row r="65" spans="1:25" s="11" customFormat="1" x14ac:dyDescent="0.25">
      <c r="A65" s="12" t="s">
        <v>6</v>
      </c>
      <c r="D65" s="290" t="s">
        <v>19</v>
      </c>
      <c r="E65" s="449">
        <f>'Изходни данни'!C50</f>
        <v>0.01</v>
      </c>
      <c r="F65" s="449">
        <f>'Изходни данни'!D50</f>
        <v>0.01</v>
      </c>
      <c r="G65" s="449">
        <f>'Изходни данни'!E50</f>
        <v>0.01</v>
      </c>
      <c r="H65" s="449">
        <f>'Изходни данни'!F50</f>
        <v>0.01</v>
      </c>
      <c r="I65" s="449">
        <f>'Изходни данни'!G50</f>
        <v>0.01</v>
      </c>
      <c r="J65" s="449">
        <f>'Изходни данни'!H50</f>
        <v>0.01</v>
      </c>
      <c r="K65" s="449">
        <f>'Изходни данни'!I50</f>
        <v>0.01</v>
      </c>
      <c r="L65" s="449">
        <f>'Изходни данни'!J50</f>
        <v>0.01</v>
      </c>
      <c r="M65" s="449">
        <f>'Изходни данни'!K50</f>
        <v>0.01</v>
      </c>
      <c r="N65" s="449">
        <f>'Изходни данни'!L50</f>
        <v>0.01</v>
      </c>
      <c r="O65" s="449">
        <f>'Изходни данни'!M50</f>
        <v>0.01</v>
      </c>
      <c r="P65" s="449">
        <f>'Изходни данни'!N50</f>
        <v>0.01</v>
      </c>
      <c r="Q65" s="9"/>
      <c r="R65" s="9"/>
      <c r="S65" s="9"/>
      <c r="T65" s="9"/>
      <c r="U65" s="9"/>
      <c r="V65" s="9"/>
      <c r="W65" s="9"/>
      <c r="X65" s="9"/>
      <c r="Y65" s="9"/>
    </row>
    <row r="66" spans="1:25" s="11" customFormat="1" x14ac:dyDescent="0.25">
      <c r="A66" s="12" t="s">
        <v>12</v>
      </c>
      <c r="D66" s="290" t="s">
        <v>19</v>
      </c>
      <c r="E66" s="449">
        <f>'Изходни данни'!C51</f>
        <v>5.5E-2</v>
      </c>
      <c r="F66" s="449">
        <f>'Изходни данни'!D51</f>
        <v>5.5E-2</v>
      </c>
      <c r="G66" s="449">
        <f>'Изходни данни'!E51</f>
        <v>5.5E-2</v>
      </c>
      <c r="H66" s="449">
        <f>'Изходни данни'!F51</f>
        <v>5.5E-2</v>
      </c>
      <c r="I66" s="449">
        <f>'Изходни данни'!G51</f>
        <v>5.5E-2</v>
      </c>
      <c r="J66" s="449">
        <f>'Изходни данни'!H51</f>
        <v>5.5E-2</v>
      </c>
      <c r="K66" s="449">
        <f>'Изходни данни'!I51</f>
        <v>5.5E-2</v>
      </c>
      <c r="L66" s="449">
        <f>'Изходни данни'!J51</f>
        <v>5.5E-2</v>
      </c>
      <c r="M66" s="449">
        <f>'Изходни данни'!K51</f>
        <v>5.5E-2</v>
      </c>
      <c r="N66" s="449">
        <f>'Изходни данни'!L51</f>
        <v>5.5E-2</v>
      </c>
      <c r="O66" s="449">
        <f>'Изходни данни'!M51</f>
        <v>5.5E-2</v>
      </c>
      <c r="P66" s="449">
        <f>'Изходни данни'!N51</f>
        <v>5.5E-2</v>
      </c>
      <c r="Q66" s="9"/>
      <c r="R66" s="9"/>
      <c r="S66" s="9"/>
      <c r="T66" s="9"/>
      <c r="U66" s="9"/>
      <c r="V66" s="9"/>
      <c r="W66" s="9"/>
      <c r="X66" s="9"/>
      <c r="Y66" s="9"/>
    </row>
    <row r="67" spans="1:25" s="11" customFormat="1" x14ac:dyDescent="0.25">
      <c r="A67" s="12" t="s">
        <v>11</v>
      </c>
      <c r="D67" s="290" t="s">
        <v>19</v>
      </c>
      <c r="E67" s="449">
        <f>'Изходни данни'!C52</f>
        <v>2.5000000000000001E-2</v>
      </c>
      <c r="F67" s="449">
        <f>'Изходни данни'!D52</f>
        <v>2.5000000000000001E-2</v>
      </c>
      <c r="G67" s="449">
        <f>'Изходни данни'!E52</f>
        <v>2.5000000000000001E-2</v>
      </c>
      <c r="H67" s="449">
        <f>'Изходни данни'!F52</f>
        <v>2.5000000000000001E-2</v>
      </c>
      <c r="I67" s="449">
        <f>'Изходни данни'!G52</f>
        <v>2.5000000000000001E-2</v>
      </c>
      <c r="J67" s="449">
        <f>'Изходни данни'!H52</f>
        <v>2.5000000000000001E-2</v>
      </c>
      <c r="K67" s="449">
        <f>'Изходни данни'!I52</f>
        <v>2.5000000000000001E-2</v>
      </c>
      <c r="L67" s="449">
        <f>'Изходни данни'!J52</f>
        <v>2.5000000000000001E-2</v>
      </c>
      <c r="M67" s="449">
        <f>'Изходни данни'!K52</f>
        <v>2.5000000000000001E-2</v>
      </c>
      <c r="N67" s="449">
        <f>'Изходни данни'!L52</f>
        <v>2.5000000000000001E-2</v>
      </c>
      <c r="O67" s="449">
        <f>'Изходни данни'!M52</f>
        <v>2.5000000000000001E-2</v>
      </c>
      <c r="P67" s="449">
        <f>'Изходни данни'!N52</f>
        <v>2.5000000000000001E-2</v>
      </c>
      <c r="Q67" s="9"/>
      <c r="R67" s="9"/>
      <c r="S67" s="9"/>
      <c r="T67" s="9"/>
      <c r="U67" s="9"/>
      <c r="V67" s="9"/>
      <c r="W67" s="9"/>
      <c r="X67" s="9"/>
      <c r="Y67" s="9"/>
    </row>
    <row r="68" spans="1:25" s="11" customFormat="1" x14ac:dyDescent="0.25">
      <c r="A68" s="12" t="s">
        <v>7</v>
      </c>
      <c r="D68" s="290" t="s">
        <v>19</v>
      </c>
      <c r="E68" s="449">
        <f>'Изходни данни'!C53</f>
        <v>0.08</v>
      </c>
      <c r="F68" s="449">
        <f>'Изходни данни'!D53</f>
        <v>0.08</v>
      </c>
      <c r="G68" s="449">
        <f>'Изходни данни'!E53</f>
        <v>0.08</v>
      </c>
      <c r="H68" s="449">
        <f>'Изходни данни'!F53</f>
        <v>0.08</v>
      </c>
      <c r="I68" s="449">
        <f>'Изходни данни'!G53</f>
        <v>0.08</v>
      </c>
      <c r="J68" s="449">
        <f>'Изходни данни'!H53</f>
        <v>0.08</v>
      </c>
      <c r="K68" s="449">
        <f>'Изходни данни'!I53</f>
        <v>0.08</v>
      </c>
      <c r="L68" s="449">
        <f>'Изходни данни'!J53</f>
        <v>0.08</v>
      </c>
      <c r="M68" s="449">
        <f>'Изходни данни'!K53</f>
        <v>0.08</v>
      </c>
      <c r="N68" s="449">
        <f>'Изходни данни'!L53</f>
        <v>0.08</v>
      </c>
      <c r="O68" s="449">
        <f>'Изходни данни'!M53</f>
        <v>0.08</v>
      </c>
      <c r="P68" s="449">
        <f>'Изходни данни'!N53</f>
        <v>0.08</v>
      </c>
      <c r="Q68" s="9"/>
      <c r="R68" s="9"/>
      <c r="S68" s="9"/>
      <c r="T68" s="9"/>
      <c r="U68" s="9"/>
      <c r="V68" s="9"/>
      <c r="W68" s="9"/>
      <c r="X68" s="9"/>
      <c r="Y68" s="9"/>
    </row>
    <row r="69" spans="1:25" s="11" customFormat="1" x14ac:dyDescent="0.25">
      <c r="A69" s="12" t="s">
        <v>8</v>
      </c>
      <c r="D69" s="290" t="s">
        <v>19</v>
      </c>
      <c r="E69" s="449">
        <f>'Изходни данни'!C54</f>
        <v>2.5000000000000001E-2</v>
      </c>
      <c r="F69" s="449">
        <f>'Изходни данни'!D54</f>
        <v>2.5000000000000001E-2</v>
      </c>
      <c r="G69" s="449">
        <f>'Изходни данни'!E54</f>
        <v>2.5000000000000001E-2</v>
      </c>
      <c r="H69" s="449">
        <f>'Изходни данни'!F54</f>
        <v>2.5000000000000001E-2</v>
      </c>
      <c r="I69" s="449">
        <f>'Изходни данни'!G54</f>
        <v>2.5000000000000001E-2</v>
      </c>
      <c r="J69" s="449">
        <f>'Изходни данни'!H54</f>
        <v>2.5000000000000001E-2</v>
      </c>
      <c r="K69" s="449">
        <f>'Изходни данни'!I54</f>
        <v>2.5000000000000001E-2</v>
      </c>
      <c r="L69" s="449">
        <f>'Изходни данни'!J54</f>
        <v>2.5000000000000001E-2</v>
      </c>
      <c r="M69" s="449">
        <f>'Изходни данни'!K54</f>
        <v>2.5000000000000001E-2</v>
      </c>
      <c r="N69" s="449">
        <f>'Изходни данни'!L54</f>
        <v>2.5000000000000001E-2</v>
      </c>
      <c r="O69" s="449">
        <f>'Изходни данни'!M54</f>
        <v>2.5000000000000001E-2</v>
      </c>
      <c r="P69" s="449">
        <f>'Изходни данни'!N54</f>
        <v>2.5000000000000001E-2</v>
      </c>
      <c r="Q69" s="9"/>
      <c r="R69" s="9"/>
      <c r="S69" s="9"/>
      <c r="T69" s="9"/>
      <c r="U69" s="9"/>
      <c r="V69" s="9"/>
      <c r="W69" s="9"/>
      <c r="X69" s="9"/>
      <c r="Y69" s="9"/>
    </row>
    <row r="70" spans="1:25" s="11" customFormat="1" x14ac:dyDescent="0.25">
      <c r="A70" s="12" t="s">
        <v>9</v>
      </c>
      <c r="D70" s="290" t="s">
        <v>19</v>
      </c>
      <c r="E70" s="449">
        <f>'Изходни данни'!C55</f>
        <v>0.13</v>
      </c>
      <c r="F70" s="449">
        <f>'Изходни данни'!D55</f>
        <v>0.13</v>
      </c>
      <c r="G70" s="449">
        <f>'Изходни данни'!E55</f>
        <v>0.13</v>
      </c>
      <c r="H70" s="449">
        <f>'Изходни данни'!F55</f>
        <v>0.13</v>
      </c>
      <c r="I70" s="449">
        <f>'Изходни данни'!G55</f>
        <v>0.13</v>
      </c>
      <c r="J70" s="449">
        <f>'Изходни данни'!H55</f>
        <v>0.13</v>
      </c>
      <c r="K70" s="449">
        <f>'Изходни данни'!I55</f>
        <v>0.13</v>
      </c>
      <c r="L70" s="449">
        <f>'Изходни данни'!J55</f>
        <v>0.13</v>
      </c>
      <c r="M70" s="449">
        <f>'Изходни данни'!K55</f>
        <v>0.13</v>
      </c>
      <c r="N70" s="449">
        <f>'Изходни данни'!L55</f>
        <v>0.13</v>
      </c>
      <c r="O70" s="449">
        <f>'Изходни данни'!M55</f>
        <v>0.13</v>
      </c>
      <c r="P70" s="449">
        <f>'Изходни данни'!N55</f>
        <v>0.13</v>
      </c>
      <c r="Q70" s="9"/>
      <c r="R70" s="9"/>
      <c r="S70" s="9"/>
      <c r="T70" s="9"/>
      <c r="U70" s="9"/>
      <c r="V70" s="9"/>
      <c r="W70" s="9"/>
      <c r="X70" s="9"/>
      <c r="Y70" s="9"/>
    </row>
    <row r="71" spans="1:25" s="11" customFormat="1" x14ac:dyDescent="0.25">
      <c r="A71" s="12" t="s">
        <v>10</v>
      </c>
      <c r="D71" s="290" t="s">
        <v>19</v>
      </c>
      <c r="E71" s="449">
        <f>'Изходни данни'!C56</f>
        <v>5.0000000000000001E-3</v>
      </c>
      <c r="F71" s="449">
        <f>'Изходни данни'!D56</f>
        <v>5.0000000000000001E-3</v>
      </c>
      <c r="G71" s="449">
        <f>'Изходни данни'!E56</f>
        <v>5.0000000000000001E-3</v>
      </c>
      <c r="H71" s="449">
        <f>'Изходни данни'!F56</f>
        <v>5.0000000000000001E-3</v>
      </c>
      <c r="I71" s="449">
        <f>'Изходни данни'!G56</f>
        <v>5.0000000000000001E-3</v>
      </c>
      <c r="J71" s="449">
        <f>'Изходни данни'!H56</f>
        <v>5.0000000000000001E-3</v>
      </c>
      <c r="K71" s="449">
        <f>'Изходни данни'!I56</f>
        <v>5.0000000000000001E-3</v>
      </c>
      <c r="L71" s="449">
        <f>'Изходни данни'!J56</f>
        <v>5.0000000000000001E-3</v>
      </c>
      <c r="M71" s="449">
        <f>'Изходни данни'!K56</f>
        <v>5.0000000000000001E-3</v>
      </c>
      <c r="N71" s="449">
        <f>'Изходни данни'!L56</f>
        <v>5.0000000000000001E-3</v>
      </c>
      <c r="O71" s="449">
        <f>'Изходни данни'!M56</f>
        <v>5.0000000000000001E-3</v>
      </c>
      <c r="P71" s="449">
        <f>'Изходни данни'!N56</f>
        <v>5.0000000000000001E-3</v>
      </c>
      <c r="Q71" s="9"/>
      <c r="R71" s="9"/>
      <c r="S71" s="9"/>
      <c r="T71" s="9"/>
      <c r="U71" s="9"/>
      <c r="V71" s="9"/>
      <c r="W71" s="9"/>
      <c r="X71" s="9"/>
      <c r="Y71" s="9"/>
    </row>
    <row r="72" spans="1:25" s="11" customFormat="1" x14ac:dyDescent="0.25">
      <c r="A72" s="16"/>
      <c r="C72" s="19"/>
      <c r="D72" s="294"/>
      <c r="E72" s="28"/>
      <c r="F72" s="28"/>
      <c r="G72" s="28"/>
      <c r="H72" s="28"/>
      <c r="I72" s="28"/>
      <c r="J72" s="28"/>
      <c r="K72" s="28"/>
      <c r="L72" s="28"/>
      <c r="M72" s="28"/>
      <c r="N72" s="28"/>
      <c r="O72" s="28"/>
      <c r="P72" s="28"/>
    </row>
    <row r="73" spans="1:25" s="11" customFormat="1" x14ac:dyDescent="0.25">
      <c r="A73" s="143" t="s">
        <v>213</v>
      </c>
      <c r="D73" s="294" t="s">
        <v>22</v>
      </c>
      <c r="E73" s="25">
        <f>'Изходни данни'!C23</f>
        <v>3000</v>
      </c>
      <c r="F73" s="25">
        <f>'Изходни данни'!D23</f>
        <v>3000</v>
      </c>
      <c r="G73" s="25">
        <f>'Изходни данни'!E23</f>
        <v>3000</v>
      </c>
      <c r="H73" s="25">
        <f>'Изходни данни'!F23</f>
        <v>3000</v>
      </c>
      <c r="I73" s="25">
        <f>'Изходни данни'!G23</f>
        <v>3000</v>
      </c>
      <c r="J73" s="25">
        <f>'Изходни данни'!H23</f>
        <v>3000</v>
      </c>
      <c r="K73" s="25">
        <f>'Изходни данни'!I23</f>
        <v>3000</v>
      </c>
      <c r="L73" s="25">
        <f>'Изходни данни'!J23</f>
        <v>3000</v>
      </c>
      <c r="M73" s="25">
        <f>'Изходни данни'!K23</f>
        <v>3000</v>
      </c>
      <c r="N73" s="25">
        <f>'Изходни данни'!L23</f>
        <v>3000</v>
      </c>
      <c r="O73" s="25">
        <f>'Изходни данни'!M23</f>
        <v>3000</v>
      </c>
      <c r="P73" s="25">
        <f>'Изходни данни'!N23</f>
        <v>3000</v>
      </c>
    </row>
    <row r="74" spans="1:25" s="11" customFormat="1" x14ac:dyDescent="0.25">
      <c r="A74" s="12" t="s">
        <v>0</v>
      </c>
      <c r="D74" s="292" t="s">
        <v>22</v>
      </c>
      <c r="E74" s="24">
        <f>E89*E$73</f>
        <v>630</v>
      </c>
      <c r="F74" s="24">
        <f t="shared" ref="F74:P74" si="9">F89*F$73</f>
        <v>630</v>
      </c>
      <c r="G74" s="24">
        <f t="shared" si="9"/>
        <v>630</v>
      </c>
      <c r="H74" s="24">
        <f t="shared" si="9"/>
        <v>630</v>
      </c>
      <c r="I74" s="24">
        <f t="shared" si="9"/>
        <v>630</v>
      </c>
      <c r="J74" s="24">
        <f t="shared" si="9"/>
        <v>630</v>
      </c>
      <c r="K74" s="24">
        <f t="shared" si="9"/>
        <v>630</v>
      </c>
      <c r="L74" s="24">
        <f t="shared" si="9"/>
        <v>630</v>
      </c>
      <c r="M74" s="24">
        <f t="shared" si="9"/>
        <v>630</v>
      </c>
      <c r="N74" s="24">
        <f t="shared" si="9"/>
        <v>630</v>
      </c>
      <c r="O74" s="24">
        <f t="shared" si="9"/>
        <v>630</v>
      </c>
      <c r="P74" s="24">
        <f t="shared" si="9"/>
        <v>630</v>
      </c>
    </row>
    <row r="75" spans="1:25" s="11" customFormat="1" x14ac:dyDescent="0.25">
      <c r="A75" s="12" t="s">
        <v>1</v>
      </c>
      <c r="D75" s="292" t="s">
        <v>22</v>
      </c>
      <c r="E75" s="24">
        <f t="shared" ref="E75:P86" si="10">E90*E$73</f>
        <v>180</v>
      </c>
      <c r="F75" s="24">
        <f t="shared" si="10"/>
        <v>180</v>
      </c>
      <c r="G75" s="24">
        <f t="shared" si="10"/>
        <v>180</v>
      </c>
      <c r="H75" s="24">
        <f t="shared" si="10"/>
        <v>180</v>
      </c>
      <c r="I75" s="24">
        <f t="shared" si="10"/>
        <v>180</v>
      </c>
      <c r="J75" s="24">
        <f t="shared" si="10"/>
        <v>180</v>
      </c>
      <c r="K75" s="24">
        <f t="shared" si="10"/>
        <v>180</v>
      </c>
      <c r="L75" s="24">
        <f t="shared" si="10"/>
        <v>180</v>
      </c>
      <c r="M75" s="24">
        <f t="shared" si="10"/>
        <v>180</v>
      </c>
      <c r="N75" s="24">
        <f t="shared" si="10"/>
        <v>180</v>
      </c>
      <c r="O75" s="24">
        <f t="shared" si="10"/>
        <v>180</v>
      </c>
      <c r="P75" s="24">
        <f t="shared" si="10"/>
        <v>180</v>
      </c>
    </row>
    <row r="76" spans="1:25" s="11" customFormat="1" x14ac:dyDescent="0.25">
      <c r="A76" s="12" t="s">
        <v>2</v>
      </c>
      <c r="D76" s="292" t="s">
        <v>22</v>
      </c>
      <c r="E76" s="24">
        <f t="shared" si="10"/>
        <v>345</v>
      </c>
      <c r="F76" s="24">
        <f t="shared" si="10"/>
        <v>345</v>
      </c>
      <c r="G76" s="24">
        <f t="shared" si="10"/>
        <v>345</v>
      </c>
      <c r="H76" s="24">
        <f t="shared" si="10"/>
        <v>345</v>
      </c>
      <c r="I76" s="24">
        <f t="shared" si="10"/>
        <v>345</v>
      </c>
      <c r="J76" s="24">
        <f t="shared" si="10"/>
        <v>345</v>
      </c>
      <c r="K76" s="24">
        <f t="shared" si="10"/>
        <v>345</v>
      </c>
      <c r="L76" s="24">
        <f t="shared" si="10"/>
        <v>345</v>
      </c>
      <c r="M76" s="24">
        <f t="shared" si="10"/>
        <v>345</v>
      </c>
      <c r="N76" s="24">
        <f t="shared" si="10"/>
        <v>345</v>
      </c>
      <c r="O76" s="24">
        <f t="shared" si="10"/>
        <v>345</v>
      </c>
      <c r="P76" s="24">
        <f t="shared" si="10"/>
        <v>345</v>
      </c>
    </row>
    <row r="77" spans="1:25" s="11" customFormat="1" x14ac:dyDescent="0.25">
      <c r="A77" s="12" t="s">
        <v>3</v>
      </c>
      <c r="D77" s="292" t="s">
        <v>22</v>
      </c>
      <c r="E77" s="24">
        <f t="shared" si="10"/>
        <v>420.00000000000006</v>
      </c>
      <c r="F77" s="24">
        <f t="shared" si="10"/>
        <v>420.00000000000006</v>
      </c>
      <c r="G77" s="24">
        <f t="shared" si="10"/>
        <v>420.00000000000006</v>
      </c>
      <c r="H77" s="24">
        <f t="shared" si="10"/>
        <v>420.00000000000006</v>
      </c>
      <c r="I77" s="24">
        <f t="shared" si="10"/>
        <v>420.00000000000006</v>
      </c>
      <c r="J77" s="24">
        <f t="shared" si="10"/>
        <v>420.00000000000006</v>
      </c>
      <c r="K77" s="24">
        <f t="shared" si="10"/>
        <v>420.00000000000006</v>
      </c>
      <c r="L77" s="24">
        <f t="shared" si="10"/>
        <v>420.00000000000006</v>
      </c>
      <c r="M77" s="24">
        <f t="shared" si="10"/>
        <v>420.00000000000006</v>
      </c>
      <c r="N77" s="24">
        <f t="shared" si="10"/>
        <v>420.00000000000006</v>
      </c>
      <c r="O77" s="24">
        <f t="shared" si="10"/>
        <v>420.00000000000006</v>
      </c>
      <c r="P77" s="24">
        <f t="shared" si="10"/>
        <v>420.00000000000006</v>
      </c>
    </row>
    <row r="78" spans="1:25" s="11" customFormat="1" x14ac:dyDescent="0.25">
      <c r="A78" s="12" t="s">
        <v>4</v>
      </c>
      <c r="D78" s="292" t="s">
        <v>22</v>
      </c>
      <c r="E78" s="24">
        <f t="shared" si="10"/>
        <v>120</v>
      </c>
      <c r="F78" s="24">
        <f t="shared" si="10"/>
        <v>120</v>
      </c>
      <c r="G78" s="24">
        <f t="shared" si="10"/>
        <v>120</v>
      </c>
      <c r="H78" s="24">
        <f t="shared" si="10"/>
        <v>120</v>
      </c>
      <c r="I78" s="24">
        <f t="shared" si="10"/>
        <v>120</v>
      </c>
      <c r="J78" s="24">
        <f t="shared" si="10"/>
        <v>120</v>
      </c>
      <c r="K78" s="24">
        <f t="shared" si="10"/>
        <v>120</v>
      </c>
      <c r="L78" s="24">
        <f t="shared" si="10"/>
        <v>120</v>
      </c>
      <c r="M78" s="24">
        <f t="shared" si="10"/>
        <v>120</v>
      </c>
      <c r="N78" s="24">
        <f t="shared" si="10"/>
        <v>120</v>
      </c>
      <c r="O78" s="24">
        <f t="shared" si="10"/>
        <v>120</v>
      </c>
      <c r="P78" s="24">
        <f t="shared" si="10"/>
        <v>120</v>
      </c>
    </row>
    <row r="79" spans="1:25" s="11" customFormat="1" x14ac:dyDescent="0.25">
      <c r="A79" s="12" t="s">
        <v>5</v>
      </c>
      <c r="D79" s="292" t="s">
        <v>22</v>
      </c>
      <c r="E79" s="24">
        <f t="shared" si="10"/>
        <v>30</v>
      </c>
      <c r="F79" s="24">
        <f t="shared" si="10"/>
        <v>30</v>
      </c>
      <c r="G79" s="24">
        <f t="shared" si="10"/>
        <v>30</v>
      </c>
      <c r="H79" s="24">
        <f t="shared" si="10"/>
        <v>30</v>
      </c>
      <c r="I79" s="24">
        <f t="shared" si="10"/>
        <v>30</v>
      </c>
      <c r="J79" s="24">
        <f t="shared" si="10"/>
        <v>30</v>
      </c>
      <c r="K79" s="24">
        <f t="shared" si="10"/>
        <v>30</v>
      </c>
      <c r="L79" s="24">
        <f t="shared" si="10"/>
        <v>30</v>
      </c>
      <c r="M79" s="24">
        <f t="shared" si="10"/>
        <v>30</v>
      </c>
      <c r="N79" s="24">
        <f t="shared" si="10"/>
        <v>30</v>
      </c>
      <c r="O79" s="24">
        <f t="shared" si="10"/>
        <v>30</v>
      </c>
      <c r="P79" s="24">
        <f t="shared" si="10"/>
        <v>30</v>
      </c>
    </row>
    <row r="80" spans="1:25" s="11" customFormat="1" x14ac:dyDescent="0.25">
      <c r="A80" s="12" t="s">
        <v>6</v>
      </c>
      <c r="D80" s="292" t="s">
        <v>22</v>
      </c>
      <c r="E80" s="24">
        <f t="shared" si="10"/>
        <v>30</v>
      </c>
      <c r="F80" s="24">
        <f t="shared" si="10"/>
        <v>30</v>
      </c>
      <c r="G80" s="24">
        <f t="shared" si="10"/>
        <v>30</v>
      </c>
      <c r="H80" s="24">
        <f t="shared" si="10"/>
        <v>30</v>
      </c>
      <c r="I80" s="24">
        <f t="shared" si="10"/>
        <v>30</v>
      </c>
      <c r="J80" s="24">
        <f t="shared" si="10"/>
        <v>30</v>
      </c>
      <c r="K80" s="24">
        <f t="shared" si="10"/>
        <v>30</v>
      </c>
      <c r="L80" s="24">
        <f t="shared" si="10"/>
        <v>30</v>
      </c>
      <c r="M80" s="24">
        <f t="shared" si="10"/>
        <v>30</v>
      </c>
      <c r="N80" s="24">
        <f t="shared" si="10"/>
        <v>30</v>
      </c>
      <c r="O80" s="24">
        <f t="shared" si="10"/>
        <v>30</v>
      </c>
      <c r="P80" s="24">
        <f t="shared" si="10"/>
        <v>30</v>
      </c>
    </row>
    <row r="81" spans="1:25" s="11" customFormat="1" x14ac:dyDescent="0.25">
      <c r="A81" s="12" t="s">
        <v>12</v>
      </c>
      <c r="D81" s="292" t="s">
        <v>22</v>
      </c>
      <c r="E81" s="24">
        <f t="shared" si="10"/>
        <v>450</v>
      </c>
      <c r="F81" s="24">
        <f t="shared" si="10"/>
        <v>450</v>
      </c>
      <c r="G81" s="24">
        <f t="shared" si="10"/>
        <v>450</v>
      </c>
      <c r="H81" s="24">
        <f t="shared" si="10"/>
        <v>450</v>
      </c>
      <c r="I81" s="24">
        <f t="shared" si="10"/>
        <v>450</v>
      </c>
      <c r="J81" s="24">
        <f t="shared" si="10"/>
        <v>450</v>
      </c>
      <c r="K81" s="24">
        <f t="shared" si="10"/>
        <v>450</v>
      </c>
      <c r="L81" s="24">
        <f t="shared" si="10"/>
        <v>450</v>
      </c>
      <c r="M81" s="24">
        <f t="shared" si="10"/>
        <v>450</v>
      </c>
      <c r="N81" s="24">
        <f t="shared" si="10"/>
        <v>450</v>
      </c>
      <c r="O81" s="24">
        <f t="shared" si="10"/>
        <v>450</v>
      </c>
      <c r="P81" s="24">
        <f t="shared" si="10"/>
        <v>450</v>
      </c>
    </row>
    <row r="82" spans="1:25" s="11" customFormat="1" x14ac:dyDescent="0.25">
      <c r="A82" s="12" t="s">
        <v>11</v>
      </c>
      <c r="D82" s="292" t="s">
        <v>22</v>
      </c>
      <c r="E82" s="24">
        <f t="shared" si="10"/>
        <v>75</v>
      </c>
      <c r="F82" s="24">
        <f t="shared" si="10"/>
        <v>75</v>
      </c>
      <c r="G82" s="24">
        <f t="shared" si="10"/>
        <v>75</v>
      </c>
      <c r="H82" s="24">
        <f t="shared" si="10"/>
        <v>75</v>
      </c>
      <c r="I82" s="24">
        <f t="shared" si="10"/>
        <v>75</v>
      </c>
      <c r="J82" s="24">
        <f t="shared" si="10"/>
        <v>75</v>
      </c>
      <c r="K82" s="24">
        <f t="shared" si="10"/>
        <v>75</v>
      </c>
      <c r="L82" s="24">
        <f t="shared" si="10"/>
        <v>75</v>
      </c>
      <c r="M82" s="24">
        <f t="shared" si="10"/>
        <v>75</v>
      </c>
      <c r="N82" s="24">
        <f t="shared" si="10"/>
        <v>75</v>
      </c>
      <c r="O82" s="24">
        <f t="shared" si="10"/>
        <v>75</v>
      </c>
      <c r="P82" s="24">
        <f t="shared" si="10"/>
        <v>75</v>
      </c>
    </row>
    <row r="83" spans="1:25" s="11" customFormat="1" x14ac:dyDescent="0.25">
      <c r="A83" s="12" t="s">
        <v>7</v>
      </c>
      <c r="D83" s="292" t="s">
        <v>22</v>
      </c>
      <c r="E83" s="24">
        <f t="shared" si="10"/>
        <v>240</v>
      </c>
      <c r="F83" s="24">
        <f t="shared" si="10"/>
        <v>240</v>
      </c>
      <c r="G83" s="24">
        <f t="shared" si="10"/>
        <v>240</v>
      </c>
      <c r="H83" s="24">
        <f t="shared" si="10"/>
        <v>240</v>
      </c>
      <c r="I83" s="24">
        <f t="shared" si="10"/>
        <v>240</v>
      </c>
      <c r="J83" s="24">
        <f t="shared" si="10"/>
        <v>240</v>
      </c>
      <c r="K83" s="24">
        <f t="shared" si="10"/>
        <v>240</v>
      </c>
      <c r="L83" s="24">
        <f t="shared" si="10"/>
        <v>240</v>
      </c>
      <c r="M83" s="24">
        <f t="shared" si="10"/>
        <v>240</v>
      </c>
      <c r="N83" s="24">
        <f t="shared" si="10"/>
        <v>240</v>
      </c>
      <c r="O83" s="24">
        <f t="shared" si="10"/>
        <v>240</v>
      </c>
      <c r="P83" s="24">
        <f t="shared" si="10"/>
        <v>240</v>
      </c>
    </row>
    <row r="84" spans="1:25" s="11" customFormat="1" x14ac:dyDescent="0.25">
      <c r="A84" s="12" t="s">
        <v>8</v>
      </c>
      <c r="D84" s="292" t="s">
        <v>22</v>
      </c>
      <c r="E84" s="24">
        <f t="shared" si="10"/>
        <v>75</v>
      </c>
      <c r="F84" s="24">
        <f t="shared" si="10"/>
        <v>75</v>
      </c>
      <c r="G84" s="24">
        <f t="shared" si="10"/>
        <v>75</v>
      </c>
      <c r="H84" s="24">
        <f t="shared" si="10"/>
        <v>75</v>
      </c>
      <c r="I84" s="24">
        <f t="shared" si="10"/>
        <v>75</v>
      </c>
      <c r="J84" s="24">
        <f t="shared" si="10"/>
        <v>75</v>
      </c>
      <c r="K84" s="24">
        <f t="shared" si="10"/>
        <v>75</v>
      </c>
      <c r="L84" s="24">
        <f t="shared" si="10"/>
        <v>75</v>
      </c>
      <c r="M84" s="24">
        <f t="shared" si="10"/>
        <v>75</v>
      </c>
      <c r="N84" s="24">
        <f t="shared" si="10"/>
        <v>75</v>
      </c>
      <c r="O84" s="24">
        <f t="shared" si="10"/>
        <v>75</v>
      </c>
      <c r="P84" s="24">
        <f t="shared" si="10"/>
        <v>75</v>
      </c>
    </row>
    <row r="85" spans="1:25" s="11" customFormat="1" x14ac:dyDescent="0.25">
      <c r="A85" s="12" t="s">
        <v>9</v>
      </c>
      <c r="D85" s="292" t="s">
        <v>22</v>
      </c>
      <c r="E85" s="24">
        <f t="shared" si="10"/>
        <v>390</v>
      </c>
      <c r="F85" s="24">
        <f t="shared" si="10"/>
        <v>390</v>
      </c>
      <c r="G85" s="24">
        <f t="shared" si="10"/>
        <v>390</v>
      </c>
      <c r="H85" s="24">
        <f t="shared" si="10"/>
        <v>390</v>
      </c>
      <c r="I85" s="24">
        <f t="shared" si="10"/>
        <v>390</v>
      </c>
      <c r="J85" s="24">
        <f t="shared" si="10"/>
        <v>390</v>
      </c>
      <c r="K85" s="24">
        <f t="shared" si="10"/>
        <v>390</v>
      </c>
      <c r="L85" s="24">
        <f t="shared" si="10"/>
        <v>390</v>
      </c>
      <c r="M85" s="24">
        <f t="shared" si="10"/>
        <v>390</v>
      </c>
      <c r="N85" s="24">
        <f t="shared" si="10"/>
        <v>390</v>
      </c>
      <c r="O85" s="24">
        <f t="shared" si="10"/>
        <v>390</v>
      </c>
      <c r="P85" s="24">
        <f t="shared" si="10"/>
        <v>390</v>
      </c>
    </row>
    <row r="86" spans="1:25" s="11" customFormat="1" x14ac:dyDescent="0.25">
      <c r="A86" s="12" t="s">
        <v>10</v>
      </c>
      <c r="D86" s="292" t="s">
        <v>22</v>
      </c>
      <c r="E86" s="24">
        <f t="shared" si="10"/>
        <v>15</v>
      </c>
      <c r="F86" s="24">
        <f t="shared" si="10"/>
        <v>15</v>
      </c>
      <c r="G86" s="24">
        <f t="shared" si="10"/>
        <v>15</v>
      </c>
      <c r="H86" s="24">
        <f t="shared" si="10"/>
        <v>15</v>
      </c>
      <c r="I86" s="24">
        <f t="shared" si="10"/>
        <v>15</v>
      </c>
      <c r="J86" s="24">
        <f t="shared" si="10"/>
        <v>15</v>
      </c>
      <c r="K86" s="24">
        <f t="shared" si="10"/>
        <v>15</v>
      </c>
      <c r="L86" s="24">
        <f t="shared" si="10"/>
        <v>15</v>
      </c>
      <c r="M86" s="24">
        <f t="shared" si="10"/>
        <v>15</v>
      </c>
      <c r="N86" s="24">
        <f t="shared" si="10"/>
        <v>15</v>
      </c>
      <c r="O86" s="24">
        <f t="shared" si="10"/>
        <v>15</v>
      </c>
      <c r="P86" s="24">
        <f t="shared" si="10"/>
        <v>15</v>
      </c>
    </row>
    <row r="87" spans="1:25" s="11" customFormat="1" x14ac:dyDescent="0.25">
      <c r="A87" s="12"/>
      <c r="D87" s="292"/>
      <c r="E87" s="24"/>
      <c r="F87" s="24"/>
      <c r="G87" s="24"/>
      <c r="H87" s="24"/>
      <c r="I87" s="24"/>
      <c r="J87" s="24"/>
      <c r="K87" s="24"/>
      <c r="L87" s="24"/>
      <c r="M87" s="24"/>
      <c r="N87" s="24"/>
      <c r="O87" s="24"/>
      <c r="P87" s="24"/>
    </row>
    <row r="88" spans="1:25" s="11" customFormat="1" x14ac:dyDescent="0.25">
      <c r="A88" s="144" t="s">
        <v>166</v>
      </c>
      <c r="D88" s="290" t="s">
        <v>19</v>
      </c>
      <c r="E88" s="449">
        <f>SUM(E89:E101)</f>
        <v>1</v>
      </c>
      <c r="F88" s="449">
        <f t="shared" ref="F88:P88" si="11">SUM(F89:F101)</f>
        <v>1</v>
      </c>
      <c r="G88" s="449">
        <f t="shared" si="11"/>
        <v>1</v>
      </c>
      <c r="H88" s="449">
        <f t="shared" si="11"/>
        <v>1</v>
      </c>
      <c r="I88" s="449">
        <f t="shared" si="11"/>
        <v>1</v>
      </c>
      <c r="J88" s="449">
        <f t="shared" si="11"/>
        <v>1</v>
      </c>
      <c r="K88" s="449">
        <f t="shared" si="11"/>
        <v>1</v>
      </c>
      <c r="L88" s="449">
        <f t="shared" si="11"/>
        <v>1</v>
      </c>
      <c r="M88" s="449">
        <f t="shared" si="11"/>
        <v>1</v>
      </c>
      <c r="N88" s="449">
        <f t="shared" si="11"/>
        <v>1</v>
      </c>
      <c r="O88" s="449">
        <f t="shared" si="11"/>
        <v>1</v>
      </c>
      <c r="P88" s="449">
        <f t="shared" si="11"/>
        <v>1</v>
      </c>
    </row>
    <row r="89" spans="1:25" s="11" customFormat="1" x14ac:dyDescent="0.25">
      <c r="A89" s="12" t="s">
        <v>0</v>
      </c>
      <c r="D89" s="290" t="s">
        <v>19</v>
      </c>
      <c r="E89" s="449">
        <f>'Изходни данни'!C26</f>
        <v>0.21</v>
      </c>
      <c r="F89" s="449">
        <f>'Изходни данни'!D26</f>
        <v>0.21</v>
      </c>
      <c r="G89" s="449">
        <f>'Изходни данни'!E26</f>
        <v>0.21</v>
      </c>
      <c r="H89" s="449">
        <f>'Изходни данни'!F26</f>
        <v>0.21</v>
      </c>
      <c r="I89" s="449">
        <f>'Изходни данни'!G26</f>
        <v>0.21</v>
      </c>
      <c r="J89" s="449">
        <f>'Изходни данни'!H26</f>
        <v>0.21</v>
      </c>
      <c r="K89" s="449">
        <f>'Изходни данни'!I26</f>
        <v>0.21</v>
      </c>
      <c r="L89" s="449">
        <f>'Изходни данни'!J26</f>
        <v>0.21</v>
      </c>
      <c r="M89" s="449">
        <f>'Изходни данни'!K26</f>
        <v>0.21</v>
      </c>
      <c r="N89" s="449">
        <f>'Изходни данни'!L26</f>
        <v>0.21</v>
      </c>
      <c r="O89" s="449">
        <f>'Изходни данни'!M26</f>
        <v>0.21</v>
      </c>
      <c r="P89" s="449">
        <f>'Изходни данни'!N26</f>
        <v>0.21</v>
      </c>
      <c r="Q89" s="9"/>
      <c r="R89" s="9"/>
      <c r="S89" s="9"/>
      <c r="T89" s="9"/>
      <c r="U89" s="9"/>
      <c r="V89" s="9"/>
      <c r="W89" s="9"/>
      <c r="X89" s="9"/>
      <c r="Y89" s="9"/>
    </row>
    <row r="90" spans="1:25" s="11" customFormat="1" x14ac:dyDescent="0.25">
      <c r="A90" s="12" t="s">
        <v>1</v>
      </c>
      <c r="D90" s="290" t="s">
        <v>19</v>
      </c>
      <c r="E90" s="449">
        <f>'Изходни данни'!C27</f>
        <v>0.06</v>
      </c>
      <c r="F90" s="449">
        <f>'Изходни данни'!D27</f>
        <v>0.06</v>
      </c>
      <c r="G90" s="449">
        <f>'Изходни данни'!E27</f>
        <v>0.06</v>
      </c>
      <c r="H90" s="449">
        <f>'Изходни данни'!F27</f>
        <v>0.06</v>
      </c>
      <c r="I90" s="449">
        <f>'Изходни данни'!G27</f>
        <v>0.06</v>
      </c>
      <c r="J90" s="449">
        <f>'Изходни данни'!H27</f>
        <v>0.06</v>
      </c>
      <c r="K90" s="449">
        <f>'Изходни данни'!I27</f>
        <v>0.06</v>
      </c>
      <c r="L90" s="449">
        <f>'Изходни данни'!J27</f>
        <v>0.06</v>
      </c>
      <c r="M90" s="449">
        <f>'Изходни данни'!K27</f>
        <v>0.06</v>
      </c>
      <c r="N90" s="449">
        <f>'Изходни данни'!L27</f>
        <v>0.06</v>
      </c>
      <c r="O90" s="449">
        <f>'Изходни данни'!M27</f>
        <v>0.06</v>
      </c>
      <c r="P90" s="449">
        <f>'Изходни данни'!N27</f>
        <v>0.06</v>
      </c>
      <c r="Q90" s="9"/>
      <c r="R90" s="9"/>
      <c r="S90" s="9"/>
      <c r="T90" s="9"/>
      <c r="U90" s="9"/>
      <c r="V90" s="9"/>
      <c r="W90" s="9"/>
      <c r="X90" s="9"/>
      <c r="Y90" s="9"/>
    </row>
    <row r="91" spans="1:25" s="11" customFormat="1" x14ac:dyDescent="0.25">
      <c r="A91" s="12" t="s">
        <v>2</v>
      </c>
      <c r="D91" s="290" t="s">
        <v>19</v>
      </c>
      <c r="E91" s="449">
        <f>'Изходни данни'!C28</f>
        <v>0.115</v>
      </c>
      <c r="F91" s="449">
        <f>'Изходни данни'!D28</f>
        <v>0.115</v>
      </c>
      <c r="G91" s="449">
        <f>'Изходни данни'!E28</f>
        <v>0.115</v>
      </c>
      <c r="H91" s="449">
        <f>'Изходни данни'!F28</f>
        <v>0.115</v>
      </c>
      <c r="I91" s="449">
        <f>'Изходни данни'!G28</f>
        <v>0.115</v>
      </c>
      <c r="J91" s="449">
        <f>'Изходни данни'!H28</f>
        <v>0.115</v>
      </c>
      <c r="K91" s="449">
        <f>'Изходни данни'!I28</f>
        <v>0.115</v>
      </c>
      <c r="L91" s="449">
        <f>'Изходни данни'!J28</f>
        <v>0.115</v>
      </c>
      <c r="M91" s="449">
        <f>'Изходни данни'!K28</f>
        <v>0.115</v>
      </c>
      <c r="N91" s="449">
        <f>'Изходни данни'!L28</f>
        <v>0.115</v>
      </c>
      <c r="O91" s="449">
        <f>'Изходни данни'!M28</f>
        <v>0.115</v>
      </c>
      <c r="P91" s="449">
        <f>'Изходни данни'!N28</f>
        <v>0.115</v>
      </c>
      <c r="Q91" s="9"/>
      <c r="R91" s="9"/>
      <c r="S91" s="9"/>
      <c r="T91" s="9"/>
      <c r="U91" s="9"/>
      <c r="V91" s="9"/>
      <c r="W91" s="9"/>
      <c r="X91" s="9"/>
      <c r="Y91" s="9"/>
    </row>
    <row r="92" spans="1:25" s="11" customFormat="1" x14ac:dyDescent="0.25">
      <c r="A92" s="12" t="s">
        <v>3</v>
      </c>
      <c r="D92" s="290" t="s">
        <v>19</v>
      </c>
      <c r="E92" s="449">
        <f>'Изходни данни'!C29</f>
        <v>0.14000000000000001</v>
      </c>
      <c r="F92" s="449">
        <f>'Изходни данни'!D29</f>
        <v>0.14000000000000001</v>
      </c>
      <c r="G92" s="449">
        <f>'Изходни данни'!E29</f>
        <v>0.14000000000000001</v>
      </c>
      <c r="H92" s="449">
        <f>'Изходни данни'!F29</f>
        <v>0.14000000000000001</v>
      </c>
      <c r="I92" s="449">
        <f>'Изходни данни'!G29</f>
        <v>0.14000000000000001</v>
      </c>
      <c r="J92" s="449">
        <f>'Изходни данни'!H29</f>
        <v>0.14000000000000001</v>
      </c>
      <c r="K92" s="449">
        <f>'Изходни данни'!I29</f>
        <v>0.14000000000000001</v>
      </c>
      <c r="L92" s="449">
        <f>'Изходни данни'!J29</f>
        <v>0.14000000000000001</v>
      </c>
      <c r="M92" s="449">
        <f>'Изходни данни'!K29</f>
        <v>0.14000000000000001</v>
      </c>
      <c r="N92" s="449">
        <f>'Изходни данни'!L29</f>
        <v>0.14000000000000001</v>
      </c>
      <c r="O92" s="449">
        <f>'Изходни данни'!M29</f>
        <v>0.14000000000000001</v>
      </c>
      <c r="P92" s="449">
        <f>'Изходни данни'!N29</f>
        <v>0.14000000000000001</v>
      </c>
      <c r="Q92" s="9"/>
      <c r="R92" s="9"/>
      <c r="S92" s="9"/>
      <c r="T92" s="9"/>
      <c r="U92" s="9"/>
      <c r="V92" s="9"/>
      <c r="W92" s="9"/>
      <c r="X92" s="9"/>
      <c r="Y92" s="9"/>
    </row>
    <row r="93" spans="1:25" s="11" customFormat="1" x14ac:dyDescent="0.25">
      <c r="A93" s="12" t="s">
        <v>4</v>
      </c>
      <c r="D93" s="290" t="s">
        <v>19</v>
      </c>
      <c r="E93" s="449">
        <f>'Изходни данни'!C30</f>
        <v>0.04</v>
      </c>
      <c r="F93" s="449">
        <f>'Изходни данни'!D30</f>
        <v>0.04</v>
      </c>
      <c r="G93" s="449">
        <f>'Изходни данни'!E30</f>
        <v>0.04</v>
      </c>
      <c r="H93" s="449">
        <f>'Изходни данни'!F30</f>
        <v>0.04</v>
      </c>
      <c r="I93" s="449">
        <f>'Изходни данни'!G30</f>
        <v>0.04</v>
      </c>
      <c r="J93" s="449">
        <f>'Изходни данни'!H30</f>
        <v>0.04</v>
      </c>
      <c r="K93" s="449">
        <f>'Изходни данни'!I30</f>
        <v>0.04</v>
      </c>
      <c r="L93" s="449">
        <f>'Изходни данни'!J30</f>
        <v>0.04</v>
      </c>
      <c r="M93" s="449">
        <f>'Изходни данни'!K30</f>
        <v>0.04</v>
      </c>
      <c r="N93" s="449">
        <f>'Изходни данни'!L30</f>
        <v>0.04</v>
      </c>
      <c r="O93" s="449">
        <f>'Изходни данни'!M30</f>
        <v>0.04</v>
      </c>
      <c r="P93" s="449">
        <f>'Изходни данни'!N30</f>
        <v>0.04</v>
      </c>
      <c r="Q93" s="9"/>
      <c r="R93" s="9"/>
      <c r="S93" s="9"/>
      <c r="T93" s="9"/>
      <c r="U93" s="9"/>
      <c r="V93" s="9"/>
      <c r="W93" s="9"/>
      <c r="X93" s="9"/>
      <c r="Y93" s="9"/>
    </row>
    <row r="94" spans="1:25" s="11" customFormat="1" x14ac:dyDescent="0.25">
      <c r="A94" s="12" t="s">
        <v>5</v>
      </c>
      <c r="D94" s="290" t="s">
        <v>19</v>
      </c>
      <c r="E94" s="449">
        <f>'Изходни данни'!C31</f>
        <v>0.01</v>
      </c>
      <c r="F94" s="449">
        <f>'Изходни данни'!D31</f>
        <v>0.01</v>
      </c>
      <c r="G94" s="449">
        <f>'Изходни данни'!E31</f>
        <v>0.01</v>
      </c>
      <c r="H94" s="449">
        <f>'Изходни данни'!F31</f>
        <v>0.01</v>
      </c>
      <c r="I94" s="449">
        <f>'Изходни данни'!G31</f>
        <v>0.01</v>
      </c>
      <c r="J94" s="449">
        <f>'Изходни данни'!H31</f>
        <v>0.01</v>
      </c>
      <c r="K94" s="449">
        <f>'Изходни данни'!I31</f>
        <v>0.01</v>
      </c>
      <c r="L94" s="449">
        <f>'Изходни данни'!J31</f>
        <v>0.01</v>
      </c>
      <c r="M94" s="449">
        <f>'Изходни данни'!K31</f>
        <v>0.01</v>
      </c>
      <c r="N94" s="449">
        <f>'Изходни данни'!L31</f>
        <v>0.01</v>
      </c>
      <c r="O94" s="449">
        <f>'Изходни данни'!M31</f>
        <v>0.01</v>
      </c>
      <c r="P94" s="449">
        <f>'Изходни данни'!N31</f>
        <v>0.01</v>
      </c>
      <c r="Q94" s="9"/>
      <c r="R94" s="9"/>
      <c r="S94" s="9"/>
      <c r="T94" s="9"/>
      <c r="U94" s="9"/>
      <c r="V94" s="9"/>
      <c r="W94" s="9"/>
      <c r="X94" s="9"/>
      <c r="Y94" s="9"/>
    </row>
    <row r="95" spans="1:25" s="11" customFormat="1" x14ac:dyDescent="0.25">
      <c r="A95" s="12" t="s">
        <v>6</v>
      </c>
      <c r="D95" s="290" t="s">
        <v>19</v>
      </c>
      <c r="E95" s="449">
        <f>'Изходни данни'!C32</f>
        <v>0.01</v>
      </c>
      <c r="F95" s="449">
        <f>'Изходни данни'!D32</f>
        <v>0.01</v>
      </c>
      <c r="G95" s="449">
        <f>'Изходни данни'!E32</f>
        <v>0.01</v>
      </c>
      <c r="H95" s="449">
        <f>'Изходни данни'!F32</f>
        <v>0.01</v>
      </c>
      <c r="I95" s="449">
        <f>'Изходни данни'!G32</f>
        <v>0.01</v>
      </c>
      <c r="J95" s="449">
        <f>'Изходни данни'!H32</f>
        <v>0.01</v>
      </c>
      <c r="K95" s="449">
        <f>'Изходни данни'!I32</f>
        <v>0.01</v>
      </c>
      <c r="L95" s="449">
        <f>'Изходни данни'!J32</f>
        <v>0.01</v>
      </c>
      <c r="M95" s="449">
        <f>'Изходни данни'!K32</f>
        <v>0.01</v>
      </c>
      <c r="N95" s="449">
        <f>'Изходни данни'!L32</f>
        <v>0.01</v>
      </c>
      <c r="O95" s="449">
        <f>'Изходни данни'!M32</f>
        <v>0.01</v>
      </c>
      <c r="P95" s="449">
        <f>'Изходни данни'!N32</f>
        <v>0.01</v>
      </c>
      <c r="Q95" s="9"/>
      <c r="R95" s="9"/>
      <c r="S95" s="9"/>
      <c r="T95" s="9"/>
      <c r="U95" s="9"/>
      <c r="V95" s="9"/>
      <c r="W95" s="9"/>
      <c r="X95" s="9"/>
      <c r="Y95" s="9"/>
    </row>
    <row r="96" spans="1:25" s="11" customFormat="1" x14ac:dyDescent="0.25">
      <c r="A96" s="12" t="s">
        <v>12</v>
      </c>
      <c r="D96" s="290" t="s">
        <v>19</v>
      </c>
      <c r="E96" s="449">
        <f>'Изходни данни'!C33</f>
        <v>0.15</v>
      </c>
      <c r="F96" s="449">
        <f>'Изходни данни'!D33</f>
        <v>0.15</v>
      </c>
      <c r="G96" s="449">
        <f>'Изходни данни'!E33</f>
        <v>0.15</v>
      </c>
      <c r="H96" s="449">
        <f>'Изходни данни'!F33</f>
        <v>0.15</v>
      </c>
      <c r="I96" s="449">
        <f>'Изходни данни'!G33</f>
        <v>0.15</v>
      </c>
      <c r="J96" s="449">
        <f>'Изходни данни'!H33</f>
        <v>0.15</v>
      </c>
      <c r="K96" s="449">
        <f>'Изходни данни'!I33</f>
        <v>0.15</v>
      </c>
      <c r="L96" s="449">
        <f>'Изходни данни'!J33</f>
        <v>0.15</v>
      </c>
      <c r="M96" s="449">
        <f>'Изходни данни'!K33</f>
        <v>0.15</v>
      </c>
      <c r="N96" s="449">
        <f>'Изходни данни'!L33</f>
        <v>0.15</v>
      </c>
      <c r="O96" s="449">
        <f>'Изходни данни'!M33</f>
        <v>0.15</v>
      </c>
      <c r="P96" s="449">
        <f>'Изходни данни'!N33</f>
        <v>0.15</v>
      </c>
      <c r="Q96" s="9"/>
      <c r="R96" s="9"/>
      <c r="S96" s="9"/>
      <c r="T96" s="9"/>
      <c r="U96" s="9"/>
      <c r="V96" s="9"/>
      <c r="W96" s="9"/>
      <c r="X96" s="9"/>
      <c r="Y96" s="9"/>
    </row>
    <row r="97" spans="1:25" s="11" customFormat="1" x14ac:dyDescent="0.25">
      <c r="A97" s="12" t="s">
        <v>11</v>
      </c>
      <c r="D97" s="290" t="s">
        <v>19</v>
      </c>
      <c r="E97" s="449">
        <f>'Изходни данни'!C34</f>
        <v>2.5000000000000001E-2</v>
      </c>
      <c r="F97" s="449">
        <f>'Изходни данни'!D34</f>
        <v>2.5000000000000001E-2</v>
      </c>
      <c r="G97" s="449">
        <f>'Изходни данни'!E34</f>
        <v>2.5000000000000001E-2</v>
      </c>
      <c r="H97" s="449">
        <f>'Изходни данни'!F34</f>
        <v>2.5000000000000001E-2</v>
      </c>
      <c r="I97" s="449">
        <f>'Изходни данни'!G34</f>
        <v>2.5000000000000001E-2</v>
      </c>
      <c r="J97" s="449">
        <f>'Изходни данни'!H34</f>
        <v>2.5000000000000001E-2</v>
      </c>
      <c r="K97" s="449">
        <f>'Изходни данни'!I34</f>
        <v>2.5000000000000001E-2</v>
      </c>
      <c r="L97" s="449">
        <f>'Изходни данни'!J34</f>
        <v>2.5000000000000001E-2</v>
      </c>
      <c r="M97" s="449">
        <f>'Изходни данни'!K34</f>
        <v>2.5000000000000001E-2</v>
      </c>
      <c r="N97" s="449">
        <f>'Изходни данни'!L34</f>
        <v>2.5000000000000001E-2</v>
      </c>
      <c r="O97" s="449">
        <f>'Изходни данни'!M34</f>
        <v>2.5000000000000001E-2</v>
      </c>
      <c r="P97" s="449">
        <f>'Изходни данни'!N34</f>
        <v>2.5000000000000001E-2</v>
      </c>
      <c r="Q97" s="9"/>
      <c r="R97" s="9"/>
      <c r="S97" s="9"/>
      <c r="T97" s="9"/>
      <c r="U97" s="9"/>
      <c r="V97" s="9"/>
      <c r="W97" s="9"/>
      <c r="X97" s="9"/>
      <c r="Y97" s="9"/>
    </row>
    <row r="98" spans="1:25" s="11" customFormat="1" x14ac:dyDescent="0.25">
      <c r="A98" s="12" t="s">
        <v>7</v>
      </c>
      <c r="D98" s="290" t="s">
        <v>19</v>
      </c>
      <c r="E98" s="449">
        <f>'Изходни данни'!C35</f>
        <v>0.08</v>
      </c>
      <c r="F98" s="449">
        <f>'Изходни данни'!D35</f>
        <v>0.08</v>
      </c>
      <c r="G98" s="449">
        <f>'Изходни данни'!E35</f>
        <v>0.08</v>
      </c>
      <c r="H98" s="449">
        <f>'Изходни данни'!F35</f>
        <v>0.08</v>
      </c>
      <c r="I98" s="449">
        <f>'Изходни данни'!G35</f>
        <v>0.08</v>
      </c>
      <c r="J98" s="449">
        <f>'Изходни данни'!H35</f>
        <v>0.08</v>
      </c>
      <c r="K98" s="449">
        <f>'Изходни данни'!I35</f>
        <v>0.08</v>
      </c>
      <c r="L98" s="449">
        <f>'Изходни данни'!J35</f>
        <v>0.08</v>
      </c>
      <c r="M98" s="449">
        <f>'Изходни данни'!K35</f>
        <v>0.08</v>
      </c>
      <c r="N98" s="449">
        <f>'Изходни данни'!L35</f>
        <v>0.08</v>
      </c>
      <c r="O98" s="449">
        <f>'Изходни данни'!M35</f>
        <v>0.08</v>
      </c>
      <c r="P98" s="449">
        <f>'Изходни данни'!N35</f>
        <v>0.08</v>
      </c>
      <c r="Q98" s="9"/>
      <c r="R98" s="9"/>
      <c r="S98" s="9"/>
      <c r="T98" s="9"/>
      <c r="U98" s="9"/>
      <c r="V98" s="9"/>
      <c r="W98" s="9"/>
      <c r="X98" s="9"/>
      <c r="Y98" s="9"/>
    </row>
    <row r="99" spans="1:25" s="11" customFormat="1" x14ac:dyDescent="0.25">
      <c r="A99" s="12" t="s">
        <v>8</v>
      </c>
      <c r="D99" s="290" t="s">
        <v>19</v>
      </c>
      <c r="E99" s="449">
        <f>'Изходни данни'!C36</f>
        <v>2.5000000000000001E-2</v>
      </c>
      <c r="F99" s="449">
        <f>'Изходни данни'!D36</f>
        <v>2.5000000000000001E-2</v>
      </c>
      <c r="G99" s="449">
        <f>'Изходни данни'!E36</f>
        <v>2.5000000000000001E-2</v>
      </c>
      <c r="H99" s="449">
        <f>'Изходни данни'!F36</f>
        <v>2.5000000000000001E-2</v>
      </c>
      <c r="I99" s="449">
        <f>'Изходни данни'!G36</f>
        <v>2.5000000000000001E-2</v>
      </c>
      <c r="J99" s="449">
        <f>'Изходни данни'!H36</f>
        <v>2.5000000000000001E-2</v>
      </c>
      <c r="K99" s="449">
        <f>'Изходни данни'!I36</f>
        <v>2.5000000000000001E-2</v>
      </c>
      <c r="L99" s="449">
        <f>'Изходни данни'!J36</f>
        <v>2.5000000000000001E-2</v>
      </c>
      <c r="M99" s="449">
        <f>'Изходни данни'!K36</f>
        <v>2.5000000000000001E-2</v>
      </c>
      <c r="N99" s="449">
        <f>'Изходни данни'!L36</f>
        <v>2.5000000000000001E-2</v>
      </c>
      <c r="O99" s="449">
        <f>'Изходни данни'!M36</f>
        <v>2.5000000000000001E-2</v>
      </c>
      <c r="P99" s="449">
        <f>'Изходни данни'!N36</f>
        <v>2.5000000000000001E-2</v>
      </c>
      <c r="Q99" s="9"/>
      <c r="R99" s="9"/>
      <c r="S99" s="9"/>
      <c r="T99" s="9"/>
      <c r="U99" s="9"/>
      <c r="V99" s="9"/>
      <c r="W99" s="9"/>
      <c r="X99" s="9"/>
      <c r="Y99" s="9"/>
    </row>
    <row r="100" spans="1:25" s="11" customFormat="1" x14ac:dyDescent="0.25">
      <c r="A100" s="12" t="s">
        <v>9</v>
      </c>
      <c r="D100" s="290" t="s">
        <v>19</v>
      </c>
      <c r="E100" s="449">
        <f>'Изходни данни'!C37</f>
        <v>0.13</v>
      </c>
      <c r="F100" s="449">
        <f>'Изходни данни'!D37</f>
        <v>0.13</v>
      </c>
      <c r="G100" s="449">
        <f>'Изходни данни'!E37</f>
        <v>0.13</v>
      </c>
      <c r="H100" s="449">
        <f>'Изходни данни'!F37</f>
        <v>0.13</v>
      </c>
      <c r="I100" s="449">
        <f>'Изходни данни'!G37</f>
        <v>0.13</v>
      </c>
      <c r="J100" s="449">
        <f>'Изходни данни'!H37</f>
        <v>0.13</v>
      </c>
      <c r="K100" s="449">
        <f>'Изходни данни'!I37</f>
        <v>0.13</v>
      </c>
      <c r="L100" s="449">
        <f>'Изходни данни'!J37</f>
        <v>0.13</v>
      </c>
      <c r="M100" s="449">
        <f>'Изходни данни'!K37</f>
        <v>0.13</v>
      </c>
      <c r="N100" s="449">
        <f>'Изходни данни'!L37</f>
        <v>0.13</v>
      </c>
      <c r="O100" s="449">
        <f>'Изходни данни'!M37</f>
        <v>0.13</v>
      </c>
      <c r="P100" s="449">
        <f>'Изходни данни'!N37</f>
        <v>0.13</v>
      </c>
      <c r="Q100" s="9"/>
      <c r="R100" s="9"/>
      <c r="S100" s="9"/>
      <c r="T100" s="9"/>
      <c r="U100" s="9"/>
      <c r="V100" s="9"/>
      <c r="W100" s="9"/>
      <c r="X100" s="9"/>
      <c r="Y100" s="9"/>
    </row>
    <row r="101" spans="1:25" s="11" customFormat="1" x14ac:dyDescent="0.25">
      <c r="A101" s="12" t="s">
        <v>10</v>
      </c>
      <c r="D101" s="290" t="s">
        <v>19</v>
      </c>
      <c r="E101" s="449">
        <f>'Изходни данни'!C38</f>
        <v>5.0000000000000001E-3</v>
      </c>
      <c r="F101" s="449">
        <f>'Изходни данни'!D38</f>
        <v>5.0000000000000001E-3</v>
      </c>
      <c r="G101" s="449">
        <f>'Изходни данни'!E38</f>
        <v>5.0000000000000001E-3</v>
      </c>
      <c r="H101" s="449">
        <f>'Изходни данни'!F38</f>
        <v>5.0000000000000001E-3</v>
      </c>
      <c r="I101" s="449">
        <f>'Изходни данни'!G38</f>
        <v>5.0000000000000001E-3</v>
      </c>
      <c r="J101" s="449">
        <f>'Изходни данни'!H38</f>
        <v>5.0000000000000001E-3</v>
      </c>
      <c r="K101" s="449">
        <f>'Изходни данни'!I38</f>
        <v>5.0000000000000001E-3</v>
      </c>
      <c r="L101" s="449">
        <f>'Изходни данни'!J38</f>
        <v>5.0000000000000001E-3</v>
      </c>
      <c r="M101" s="449">
        <f>'Изходни данни'!K38</f>
        <v>5.0000000000000001E-3</v>
      </c>
      <c r="N101" s="449">
        <f>'Изходни данни'!L38</f>
        <v>5.0000000000000001E-3</v>
      </c>
      <c r="O101" s="449">
        <f>'Изходни данни'!M38</f>
        <v>5.0000000000000001E-3</v>
      </c>
      <c r="P101" s="449">
        <f>'Изходни данни'!N38</f>
        <v>5.0000000000000001E-3</v>
      </c>
      <c r="Q101" s="9"/>
      <c r="R101" s="9"/>
      <c r="S101" s="9"/>
      <c r="T101" s="9"/>
      <c r="U101" s="9"/>
      <c r="V101" s="9"/>
      <c r="W101" s="9"/>
      <c r="X101" s="9"/>
      <c r="Y101" s="9"/>
    </row>
    <row r="102" spans="1:25" s="11" customFormat="1" x14ac:dyDescent="0.25">
      <c r="A102" s="10"/>
      <c r="D102" s="291"/>
      <c r="E102" s="27"/>
      <c r="F102" s="27"/>
      <c r="G102" s="27"/>
      <c r="H102" s="27"/>
      <c r="I102" s="27"/>
      <c r="J102" s="27"/>
      <c r="K102" s="27"/>
      <c r="L102" s="27"/>
      <c r="M102" s="27"/>
      <c r="N102" s="27"/>
      <c r="O102" s="27"/>
      <c r="P102" s="27"/>
    </row>
    <row r="103" spans="1:25" s="11" customFormat="1" x14ac:dyDescent="0.25">
      <c r="A103" s="145" t="s">
        <v>208</v>
      </c>
      <c r="D103" s="292" t="s">
        <v>158</v>
      </c>
      <c r="E103" s="25">
        <f>SUM(E104:E116)</f>
        <v>300</v>
      </c>
      <c r="F103" s="25">
        <f t="shared" ref="F103:P103" si="12">SUM(F104:F116)</f>
        <v>300</v>
      </c>
      <c r="G103" s="25">
        <f t="shared" si="12"/>
        <v>300</v>
      </c>
      <c r="H103" s="25">
        <f t="shared" si="12"/>
        <v>300</v>
      </c>
      <c r="I103" s="25">
        <f t="shared" si="12"/>
        <v>300</v>
      </c>
      <c r="J103" s="25">
        <f t="shared" si="12"/>
        <v>300</v>
      </c>
      <c r="K103" s="25">
        <f t="shared" si="12"/>
        <v>300</v>
      </c>
      <c r="L103" s="25">
        <f t="shared" si="12"/>
        <v>300</v>
      </c>
      <c r="M103" s="25">
        <f t="shared" si="12"/>
        <v>300</v>
      </c>
      <c r="N103" s="25">
        <f t="shared" si="12"/>
        <v>300</v>
      </c>
      <c r="O103" s="25">
        <f t="shared" si="12"/>
        <v>300</v>
      </c>
      <c r="P103" s="25">
        <f t="shared" si="12"/>
        <v>300</v>
      </c>
    </row>
    <row r="104" spans="1:25" s="11" customFormat="1" x14ac:dyDescent="0.25">
      <c r="A104" s="12" t="s">
        <v>0</v>
      </c>
      <c r="D104" s="292" t="s">
        <v>158</v>
      </c>
      <c r="E104" s="24">
        <f>E74/E$7*1000</f>
        <v>63</v>
      </c>
      <c r="F104" s="24">
        <f t="shared" ref="F104:P104" si="13">F74/F$7*1000</f>
        <v>63</v>
      </c>
      <c r="G104" s="24">
        <f t="shared" si="13"/>
        <v>63</v>
      </c>
      <c r="H104" s="24">
        <f t="shared" si="13"/>
        <v>63</v>
      </c>
      <c r="I104" s="24">
        <f t="shared" si="13"/>
        <v>63</v>
      </c>
      <c r="J104" s="24">
        <f t="shared" si="13"/>
        <v>63</v>
      </c>
      <c r="K104" s="24">
        <f t="shared" si="13"/>
        <v>63</v>
      </c>
      <c r="L104" s="24">
        <f t="shared" si="13"/>
        <v>63</v>
      </c>
      <c r="M104" s="24">
        <f t="shared" si="13"/>
        <v>63</v>
      </c>
      <c r="N104" s="24">
        <f t="shared" si="13"/>
        <v>63</v>
      </c>
      <c r="O104" s="24">
        <f t="shared" si="13"/>
        <v>63</v>
      </c>
      <c r="P104" s="24">
        <f t="shared" si="13"/>
        <v>63</v>
      </c>
    </row>
    <row r="105" spans="1:25" s="11" customFormat="1" x14ac:dyDescent="0.25">
      <c r="A105" s="12" t="s">
        <v>1</v>
      </c>
      <c r="D105" s="292" t="s">
        <v>158</v>
      </c>
      <c r="E105" s="24">
        <f t="shared" ref="E105:P116" si="14">E75/E$7*1000</f>
        <v>18</v>
      </c>
      <c r="F105" s="24">
        <f t="shared" si="14"/>
        <v>18</v>
      </c>
      <c r="G105" s="24">
        <f t="shared" si="14"/>
        <v>18</v>
      </c>
      <c r="H105" s="24">
        <f t="shared" si="14"/>
        <v>18</v>
      </c>
      <c r="I105" s="24">
        <f t="shared" si="14"/>
        <v>18</v>
      </c>
      <c r="J105" s="24">
        <f t="shared" si="14"/>
        <v>18</v>
      </c>
      <c r="K105" s="24">
        <f t="shared" si="14"/>
        <v>18</v>
      </c>
      <c r="L105" s="24">
        <f t="shared" si="14"/>
        <v>18</v>
      </c>
      <c r="M105" s="24">
        <f t="shared" si="14"/>
        <v>18</v>
      </c>
      <c r="N105" s="24">
        <f t="shared" si="14"/>
        <v>18</v>
      </c>
      <c r="O105" s="24">
        <f t="shared" si="14"/>
        <v>18</v>
      </c>
      <c r="P105" s="24">
        <f t="shared" si="14"/>
        <v>18</v>
      </c>
    </row>
    <row r="106" spans="1:25" s="11" customFormat="1" x14ac:dyDescent="0.25">
      <c r="A106" s="12" t="s">
        <v>2</v>
      </c>
      <c r="D106" s="292" t="s">
        <v>158</v>
      </c>
      <c r="E106" s="24">
        <f t="shared" si="14"/>
        <v>34.5</v>
      </c>
      <c r="F106" s="24">
        <f t="shared" si="14"/>
        <v>34.5</v>
      </c>
      <c r="G106" s="24">
        <f t="shared" si="14"/>
        <v>34.5</v>
      </c>
      <c r="H106" s="24">
        <f t="shared" si="14"/>
        <v>34.5</v>
      </c>
      <c r="I106" s="24">
        <f t="shared" si="14"/>
        <v>34.5</v>
      </c>
      <c r="J106" s="24">
        <f t="shared" si="14"/>
        <v>34.5</v>
      </c>
      <c r="K106" s="24">
        <f t="shared" si="14"/>
        <v>34.5</v>
      </c>
      <c r="L106" s="24">
        <f t="shared" si="14"/>
        <v>34.5</v>
      </c>
      <c r="M106" s="24">
        <f t="shared" si="14"/>
        <v>34.5</v>
      </c>
      <c r="N106" s="24">
        <f t="shared" si="14"/>
        <v>34.5</v>
      </c>
      <c r="O106" s="24">
        <f t="shared" si="14"/>
        <v>34.5</v>
      </c>
      <c r="P106" s="24">
        <f t="shared" si="14"/>
        <v>34.5</v>
      </c>
    </row>
    <row r="107" spans="1:25" s="11" customFormat="1" x14ac:dyDescent="0.25">
      <c r="A107" s="12" t="s">
        <v>3</v>
      </c>
      <c r="D107" s="292" t="s">
        <v>158</v>
      </c>
      <c r="E107" s="24">
        <f t="shared" si="14"/>
        <v>42</v>
      </c>
      <c r="F107" s="24">
        <f t="shared" si="14"/>
        <v>42</v>
      </c>
      <c r="G107" s="24">
        <f t="shared" si="14"/>
        <v>42</v>
      </c>
      <c r="H107" s="24">
        <f t="shared" si="14"/>
        <v>42</v>
      </c>
      <c r="I107" s="24">
        <f t="shared" si="14"/>
        <v>42</v>
      </c>
      <c r="J107" s="24">
        <f t="shared" si="14"/>
        <v>42</v>
      </c>
      <c r="K107" s="24">
        <f t="shared" si="14"/>
        <v>42</v>
      </c>
      <c r="L107" s="24">
        <f t="shared" si="14"/>
        <v>42</v>
      </c>
      <c r="M107" s="24">
        <f t="shared" si="14"/>
        <v>42</v>
      </c>
      <c r="N107" s="24">
        <f t="shared" si="14"/>
        <v>42</v>
      </c>
      <c r="O107" s="24">
        <f t="shared" si="14"/>
        <v>42</v>
      </c>
      <c r="P107" s="24">
        <f t="shared" si="14"/>
        <v>42</v>
      </c>
    </row>
    <row r="108" spans="1:25" s="11" customFormat="1" x14ac:dyDescent="0.25">
      <c r="A108" s="12" t="s">
        <v>4</v>
      </c>
      <c r="D108" s="292" t="s">
        <v>158</v>
      </c>
      <c r="E108" s="24">
        <f t="shared" si="14"/>
        <v>12</v>
      </c>
      <c r="F108" s="24">
        <f t="shared" si="14"/>
        <v>12</v>
      </c>
      <c r="G108" s="24">
        <f t="shared" si="14"/>
        <v>12</v>
      </c>
      <c r="H108" s="24">
        <f t="shared" si="14"/>
        <v>12</v>
      </c>
      <c r="I108" s="24">
        <f t="shared" si="14"/>
        <v>12</v>
      </c>
      <c r="J108" s="24">
        <f t="shared" si="14"/>
        <v>12</v>
      </c>
      <c r="K108" s="24">
        <f t="shared" si="14"/>
        <v>12</v>
      </c>
      <c r="L108" s="24">
        <f t="shared" si="14"/>
        <v>12</v>
      </c>
      <c r="M108" s="24">
        <f t="shared" si="14"/>
        <v>12</v>
      </c>
      <c r="N108" s="24">
        <f t="shared" si="14"/>
        <v>12</v>
      </c>
      <c r="O108" s="24">
        <f t="shared" si="14"/>
        <v>12</v>
      </c>
      <c r="P108" s="24">
        <f t="shared" si="14"/>
        <v>12</v>
      </c>
    </row>
    <row r="109" spans="1:25" s="11" customFormat="1" x14ac:dyDescent="0.25">
      <c r="A109" s="12" t="s">
        <v>5</v>
      </c>
      <c r="D109" s="292" t="s">
        <v>158</v>
      </c>
      <c r="E109" s="24">
        <f t="shared" si="14"/>
        <v>3</v>
      </c>
      <c r="F109" s="24">
        <f t="shared" si="14"/>
        <v>3</v>
      </c>
      <c r="G109" s="24">
        <f t="shared" si="14"/>
        <v>3</v>
      </c>
      <c r="H109" s="24">
        <f t="shared" si="14"/>
        <v>3</v>
      </c>
      <c r="I109" s="24">
        <f t="shared" si="14"/>
        <v>3</v>
      </c>
      <c r="J109" s="24">
        <f t="shared" si="14"/>
        <v>3</v>
      </c>
      <c r="K109" s="24">
        <f t="shared" si="14"/>
        <v>3</v>
      </c>
      <c r="L109" s="24">
        <f t="shared" si="14"/>
        <v>3</v>
      </c>
      <c r="M109" s="24">
        <f t="shared" si="14"/>
        <v>3</v>
      </c>
      <c r="N109" s="24">
        <f t="shared" si="14"/>
        <v>3</v>
      </c>
      <c r="O109" s="24">
        <f t="shared" si="14"/>
        <v>3</v>
      </c>
      <c r="P109" s="24">
        <f t="shared" si="14"/>
        <v>3</v>
      </c>
    </row>
    <row r="110" spans="1:25" s="11" customFormat="1" x14ac:dyDescent="0.25">
      <c r="A110" s="12" t="s">
        <v>6</v>
      </c>
      <c r="D110" s="292" t="s">
        <v>158</v>
      </c>
      <c r="E110" s="24">
        <f t="shared" si="14"/>
        <v>3</v>
      </c>
      <c r="F110" s="24">
        <f t="shared" si="14"/>
        <v>3</v>
      </c>
      <c r="G110" s="24">
        <f t="shared" si="14"/>
        <v>3</v>
      </c>
      <c r="H110" s="24">
        <f t="shared" si="14"/>
        <v>3</v>
      </c>
      <c r="I110" s="24">
        <f t="shared" si="14"/>
        <v>3</v>
      </c>
      <c r="J110" s="24">
        <f t="shared" si="14"/>
        <v>3</v>
      </c>
      <c r="K110" s="24">
        <f t="shared" si="14"/>
        <v>3</v>
      </c>
      <c r="L110" s="24">
        <f t="shared" si="14"/>
        <v>3</v>
      </c>
      <c r="M110" s="24">
        <f t="shared" si="14"/>
        <v>3</v>
      </c>
      <c r="N110" s="24">
        <f t="shared" si="14"/>
        <v>3</v>
      </c>
      <c r="O110" s="24">
        <f t="shared" si="14"/>
        <v>3</v>
      </c>
      <c r="P110" s="24">
        <f t="shared" si="14"/>
        <v>3</v>
      </c>
    </row>
    <row r="111" spans="1:25" s="11" customFormat="1" x14ac:dyDescent="0.25">
      <c r="A111" s="12" t="s">
        <v>12</v>
      </c>
      <c r="D111" s="292" t="s">
        <v>158</v>
      </c>
      <c r="E111" s="24">
        <f t="shared" si="14"/>
        <v>45</v>
      </c>
      <c r="F111" s="24">
        <f t="shared" si="14"/>
        <v>45</v>
      </c>
      <c r="G111" s="24">
        <f t="shared" si="14"/>
        <v>45</v>
      </c>
      <c r="H111" s="24">
        <f t="shared" si="14"/>
        <v>45</v>
      </c>
      <c r="I111" s="24">
        <f t="shared" si="14"/>
        <v>45</v>
      </c>
      <c r="J111" s="24">
        <f t="shared" si="14"/>
        <v>45</v>
      </c>
      <c r="K111" s="24">
        <f t="shared" si="14"/>
        <v>45</v>
      </c>
      <c r="L111" s="24">
        <f t="shared" si="14"/>
        <v>45</v>
      </c>
      <c r="M111" s="24">
        <f t="shared" si="14"/>
        <v>45</v>
      </c>
      <c r="N111" s="24">
        <f t="shared" si="14"/>
        <v>45</v>
      </c>
      <c r="O111" s="24">
        <f t="shared" si="14"/>
        <v>45</v>
      </c>
      <c r="P111" s="24">
        <f t="shared" si="14"/>
        <v>45</v>
      </c>
    </row>
    <row r="112" spans="1:25" s="11" customFormat="1" x14ac:dyDescent="0.25">
      <c r="A112" s="12" t="s">
        <v>11</v>
      </c>
      <c r="D112" s="292" t="s">
        <v>158</v>
      </c>
      <c r="E112" s="24">
        <f t="shared" si="14"/>
        <v>7.5</v>
      </c>
      <c r="F112" s="24">
        <f t="shared" si="14"/>
        <v>7.5</v>
      </c>
      <c r="G112" s="24">
        <f t="shared" si="14"/>
        <v>7.5</v>
      </c>
      <c r="H112" s="24">
        <f t="shared" si="14"/>
        <v>7.5</v>
      </c>
      <c r="I112" s="24">
        <f t="shared" si="14"/>
        <v>7.5</v>
      </c>
      <c r="J112" s="24">
        <f t="shared" si="14"/>
        <v>7.5</v>
      </c>
      <c r="K112" s="24">
        <f t="shared" si="14"/>
        <v>7.5</v>
      </c>
      <c r="L112" s="24">
        <f t="shared" si="14"/>
        <v>7.5</v>
      </c>
      <c r="M112" s="24">
        <f t="shared" si="14"/>
        <v>7.5</v>
      </c>
      <c r="N112" s="24">
        <f t="shared" si="14"/>
        <v>7.5</v>
      </c>
      <c r="O112" s="24">
        <f t="shared" si="14"/>
        <v>7.5</v>
      </c>
      <c r="P112" s="24">
        <f t="shared" si="14"/>
        <v>7.5</v>
      </c>
    </row>
    <row r="113" spans="1:25" s="11" customFormat="1" x14ac:dyDescent="0.25">
      <c r="A113" s="12" t="s">
        <v>7</v>
      </c>
      <c r="D113" s="292" t="s">
        <v>158</v>
      </c>
      <c r="E113" s="24">
        <f t="shared" si="14"/>
        <v>24</v>
      </c>
      <c r="F113" s="24">
        <f t="shared" si="14"/>
        <v>24</v>
      </c>
      <c r="G113" s="24">
        <f t="shared" si="14"/>
        <v>24</v>
      </c>
      <c r="H113" s="24">
        <f t="shared" si="14"/>
        <v>24</v>
      </c>
      <c r="I113" s="24">
        <f t="shared" si="14"/>
        <v>24</v>
      </c>
      <c r="J113" s="24">
        <f t="shared" si="14"/>
        <v>24</v>
      </c>
      <c r="K113" s="24">
        <f t="shared" si="14"/>
        <v>24</v>
      </c>
      <c r="L113" s="24">
        <f t="shared" si="14"/>
        <v>24</v>
      </c>
      <c r="M113" s="24">
        <f t="shared" si="14"/>
        <v>24</v>
      </c>
      <c r="N113" s="24">
        <f t="shared" si="14"/>
        <v>24</v>
      </c>
      <c r="O113" s="24">
        <f t="shared" si="14"/>
        <v>24</v>
      </c>
      <c r="P113" s="24">
        <f t="shared" si="14"/>
        <v>24</v>
      </c>
    </row>
    <row r="114" spans="1:25" s="11" customFormat="1" x14ac:dyDescent="0.25">
      <c r="A114" s="12" t="s">
        <v>8</v>
      </c>
      <c r="D114" s="292" t="s">
        <v>158</v>
      </c>
      <c r="E114" s="24">
        <f t="shared" si="14"/>
        <v>7.5</v>
      </c>
      <c r="F114" s="24">
        <f t="shared" si="14"/>
        <v>7.5</v>
      </c>
      <c r="G114" s="24">
        <f t="shared" si="14"/>
        <v>7.5</v>
      </c>
      <c r="H114" s="24">
        <f t="shared" si="14"/>
        <v>7.5</v>
      </c>
      <c r="I114" s="24">
        <f t="shared" si="14"/>
        <v>7.5</v>
      </c>
      <c r="J114" s="24">
        <f t="shared" si="14"/>
        <v>7.5</v>
      </c>
      <c r="K114" s="24">
        <f t="shared" si="14"/>
        <v>7.5</v>
      </c>
      <c r="L114" s="24">
        <f t="shared" si="14"/>
        <v>7.5</v>
      </c>
      <c r="M114" s="24">
        <f t="shared" si="14"/>
        <v>7.5</v>
      </c>
      <c r="N114" s="24">
        <f t="shared" si="14"/>
        <v>7.5</v>
      </c>
      <c r="O114" s="24">
        <f t="shared" si="14"/>
        <v>7.5</v>
      </c>
      <c r="P114" s="24">
        <f t="shared" si="14"/>
        <v>7.5</v>
      </c>
    </row>
    <row r="115" spans="1:25" s="11" customFormat="1" x14ac:dyDescent="0.25">
      <c r="A115" s="12" t="s">
        <v>9</v>
      </c>
      <c r="D115" s="292" t="s">
        <v>158</v>
      </c>
      <c r="E115" s="24">
        <f t="shared" si="14"/>
        <v>39</v>
      </c>
      <c r="F115" s="24">
        <f t="shared" si="14"/>
        <v>39</v>
      </c>
      <c r="G115" s="24">
        <f t="shared" si="14"/>
        <v>39</v>
      </c>
      <c r="H115" s="24">
        <f t="shared" si="14"/>
        <v>39</v>
      </c>
      <c r="I115" s="24">
        <f t="shared" si="14"/>
        <v>39</v>
      </c>
      <c r="J115" s="24">
        <f t="shared" si="14"/>
        <v>39</v>
      </c>
      <c r="K115" s="24">
        <f t="shared" si="14"/>
        <v>39</v>
      </c>
      <c r="L115" s="24">
        <f t="shared" si="14"/>
        <v>39</v>
      </c>
      <c r="M115" s="24">
        <f t="shared" si="14"/>
        <v>39</v>
      </c>
      <c r="N115" s="24">
        <f t="shared" si="14"/>
        <v>39</v>
      </c>
      <c r="O115" s="24">
        <f t="shared" si="14"/>
        <v>39</v>
      </c>
      <c r="P115" s="24">
        <f t="shared" si="14"/>
        <v>39</v>
      </c>
    </row>
    <row r="116" spans="1:25" s="11" customFormat="1" x14ac:dyDescent="0.25">
      <c r="A116" s="12" t="s">
        <v>10</v>
      </c>
      <c r="D116" s="292" t="s">
        <v>158</v>
      </c>
      <c r="E116" s="24">
        <f t="shared" si="14"/>
        <v>1.5</v>
      </c>
      <c r="F116" s="24">
        <f t="shared" si="14"/>
        <v>1.5</v>
      </c>
      <c r="G116" s="24">
        <f t="shared" si="14"/>
        <v>1.5</v>
      </c>
      <c r="H116" s="24">
        <f t="shared" si="14"/>
        <v>1.5</v>
      </c>
      <c r="I116" s="24">
        <f t="shared" si="14"/>
        <v>1.5</v>
      </c>
      <c r="J116" s="24">
        <f t="shared" si="14"/>
        <v>1.5</v>
      </c>
      <c r="K116" s="24">
        <f t="shared" si="14"/>
        <v>1.5</v>
      </c>
      <c r="L116" s="24">
        <f t="shared" si="14"/>
        <v>1.5</v>
      </c>
      <c r="M116" s="24">
        <f t="shared" si="14"/>
        <v>1.5</v>
      </c>
      <c r="N116" s="24">
        <f t="shared" si="14"/>
        <v>1.5</v>
      </c>
      <c r="O116" s="24">
        <f t="shared" si="14"/>
        <v>1.5</v>
      </c>
      <c r="P116" s="24">
        <f t="shared" si="14"/>
        <v>1.5</v>
      </c>
    </row>
    <row r="117" spans="1:25" s="11" customFormat="1" x14ac:dyDescent="0.25">
      <c r="A117" s="10"/>
      <c r="D117" s="291"/>
      <c r="E117" s="25"/>
      <c r="F117" s="25"/>
      <c r="G117" s="25"/>
      <c r="H117" s="25"/>
      <c r="I117" s="25"/>
      <c r="J117" s="25"/>
      <c r="K117" s="25"/>
      <c r="L117" s="25"/>
      <c r="M117" s="25"/>
      <c r="N117" s="25"/>
      <c r="O117" s="25"/>
      <c r="P117" s="25"/>
    </row>
    <row r="118" spans="1:25" x14ac:dyDescent="0.25">
      <c r="A118" s="142" t="s">
        <v>209</v>
      </c>
      <c r="D118" s="79" t="s">
        <v>19</v>
      </c>
      <c r="E118" s="29">
        <f>E43/E73</f>
        <v>0.1</v>
      </c>
      <c r="F118" s="29">
        <f t="shared" ref="F118:P118" si="15">F43/F73</f>
        <v>0.1</v>
      </c>
      <c r="G118" s="29">
        <f t="shared" si="15"/>
        <v>0.1</v>
      </c>
      <c r="H118" s="29">
        <f t="shared" si="15"/>
        <v>0.1</v>
      </c>
      <c r="I118" s="29">
        <f t="shared" si="15"/>
        <v>0.1</v>
      </c>
      <c r="J118" s="29">
        <f t="shared" si="15"/>
        <v>0.1</v>
      </c>
      <c r="K118" s="29">
        <f t="shared" si="15"/>
        <v>0.1</v>
      </c>
      <c r="L118" s="29">
        <f t="shared" si="15"/>
        <v>0.1</v>
      </c>
      <c r="M118" s="29">
        <f t="shared" si="15"/>
        <v>0.1</v>
      </c>
      <c r="N118" s="29">
        <f t="shared" si="15"/>
        <v>0.1</v>
      </c>
      <c r="O118" s="29">
        <f t="shared" si="15"/>
        <v>0.1</v>
      </c>
      <c r="P118" s="29">
        <f t="shared" si="15"/>
        <v>0.1</v>
      </c>
    </row>
    <row r="119" spans="1:25" x14ac:dyDescent="0.25">
      <c r="E119" s="23"/>
      <c r="F119" s="23"/>
      <c r="G119" s="23"/>
      <c r="H119" s="23"/>
      <c r="I119" s="23"/>
      <c r="J119" s="23"/>
      <c r="K119" s="23"/>
      <c r="L119" s="23"/>
      <c r="M119" s="23"/>
      <c r="N119" s="23"/>
      <c r="O119" s="23"/>
      <c r="P119" s="23"/>
    </row>
    <row r="120" spans="1:25" s="11" customFormat="1" ht="23.25" x14ac:dyDescent="0.35">
      <c r="A120" s="168" t="str">
        <f>'Изходни данни'!A6</f>
        <v>големи населени места (повече от 3000 жители)</v>
      </c>
      <c r="B120" s="169"/>
      <c r="C120" s="169"/>
      <c r="D120" s="295"/>
      <c r="E120" s="169"/>
      <c r="F120" s="169"/>
      <c r="G120" s="169"/>
      <c r="H120" s="169"/>
      <c r="I120" s="169"/>
      <c r="J120" s="169"/>
      <c r="K120" s="169"/>
      <c r="L120" s="169"/>
      <c r="M120" s="169"/>
      <c r="N120" s="169"/>
      <c r="O120" s="169"/>
      <c r="P120" s="169"/>
    </row>
    <row r="121" spans="1:25" s="11" customFormat="1" x14ac:dyDescent="0.25">
      <c r="A121" s="171" t="str">
        <f>A13</f>
        <v>Състав на образуваните битови отпадъци</v>
      </c>
      <c r="D121" s="290" t="s">
        <v>19</v>
      </c>
      <c r="E121" s="450">
        <f>SUM(E122:E134)</f>
        <v>1</v>
      </c>
      <c r="F121" s="450">
        <f t="shared" ref="F121:P121" si="16">SUM(F122:F134)</f>
        <v>1</v>
      </c>
      <c r="G121" s="450">
        <f t="shared" si="16"/>
        <v>1</v>
      </c>
      <c r="H121" s="450">
        <f t="shared" si="16"/>
        <v>1</v>
      </c>
      <c r="I121" s="450">
        <f t="shared" si="16"/>
        <v>1</v>
      </c>
      <c r="J121" s="450">
        <f t="shared" si="16"/>
        <v>1</v>
      </c>
      <c r="K121" s="450">
        <f t="shared" si="16"/>
        <v>1</v>
      </c>
      <c r="L121" s="450">
        <f t="shared" si="16"/>
        <v>1</v>
      </c>
      <c r="M121" s="450">
        <f t="shared" si="16"/>
        <v>1</v>
      </c>
      <c r="N121" s="450">
        <f t="shared" si="16"/>
        <v>1</v>
      </c>
      <c r="O121" s="450">
        <f t="shared" si="16"/>
        <v>1</v>
      </c>
      <c r="P121" s="450">
        <f t="shared" si="16"/>
        <v>1</v>
      </c>
    </row>
    <row r="122" spans="1:25" s="11" customFormat="1" x14ac:dyDescent="0.25">
      <c r="A122" s="12" t="s">
        <v>0</v>
      </c>
      <c r="D122" s="290" t="s">
        <v>19</v>
      </c>
      <c r="E122" s="449">
        <f>E137/E$136</f>
        <v>0.21</v>
      </c>
      <c r="F122" s="449">
        <f t="shared" ref="F122:P122" si="17">F137/F$136</f>
        <v>0.21</v>
      </c>
      <c r="G122" s="449">
        <f t="shared" si="17"/>
        <v>0.21</v>
      </c>
      <c r="H122" s="449">
        <f t="shared" si="17"/>
        <v>0.21</v>
      </c>
      <c r="I122" s="449">
        <f t="shared" si="17"/>
        <v>0.21</v>
      </c>
      <c r="J122" s="449">
        <f t="shared" si="17"/>
        <v>0.21</v>
      </c>
      <c r="K122" s="449">
        <f t="shared" si="17"/>
        <v>0.21</v>
      </c>
      <c r="L122" s="449">
        <f t="shared" si="17"/>
        <v>0.21</v>
      </c>
      <c r="M122" s="449">
        <f t="shared" si="17"/>
        <v>0.21</v>
      </c>
      <c r="N122" s="449">
        <f t="shared" si="17"/>
        <v>0.21</v>
      </c>
      <c r="O122" s="449">
        <f t="shared" si="17"/>
        <v>0.21</v>
      </c>
      <c r="P122" s="449">
        <f t="shared" si="17"/>
        <v>0.21</v>
      </c>
      <c r="Q122" s="9"/>
      <c r="R122" s="9"/>
      <c r="S122" s="9"/>
      <c r="T122" s="9"/>
      <c r="U122" s="9"/>
      <c r="V122" s="9"/>
      <c r="W122" s="9"/>
      <c r="X122" s="9"/>
      <c r="Y122" s="9"/>
    </row>
    <row r="123" spans="1:25" s="11" customFormat="1" x14ac:dyDescent="0.25">
      <c r="A123" s="12" t="s">
        <v>1</v>
      </c>
      <c r="D123" s="290" t="s">
        <v>19</v>
      </c>
      <c r="E123" s="449">
        <f t="shared" ref="E123:P134" si="18">E138/E$136</f>
        <v>0.13</v>
      </c>
      <c r="F123" s="449">
        <f t="shared" si="18"/>
        <v>0.13</v>
      </c>
      <c r="G123" s="449">
        <f t="shared" si="18"/>
        <v>0.13</v>
      </c>
      <c r="H123" s="449">
        <f t="shared" si="18"/>
        <v>0.13</v>
      </c>
      <c r="I123" s="449">
        <f t="shared" si="18"/>
        <v>0.13</v>
      </c>
      <c r="J123" s="449">
        <f t="shared" si="18"/>
        <v>0.13</v>
      </c>
      <c r="K123" s="449">
        <f t="shared" si="18"/>
        <v>0.13</v>
      </c>
      <c r="L123" s="449">
        <f t="shared" si="18"/>
        <v>0.13</v>
      </c>
      <c r="M123" s="449">
        <f t="shared" si="18"/>
        <v>0.13</v>
      </c>
      <c r="N123" s="449">
        <f t="shared" si="18"/>
        <v>0.13</v>
      </c>
      <c r="O123" s="449">
        <f t="shared" si="18"/>
        <v>0.13</v>
      </c>
      <c r="P123" s="449">
        <f t="shared" si="18"/>
        <v>0.13</v>
      </c>
      <c r="Q123" s="9"/>
      <c r="R123" s="9"/>
      <c r="S123" s="9"/>
      <c r="T123" s="9"/>
      <c r="U123" s="9"/>
      <c r="V123" s="9"/>
      <c r="W123" s="9"/>
      <c r="X123" s="9"/>
      <c r="Y123" s="9"/>
    </row>
    <row r="124" spans="1:25" s="11" customFormat="1" x14ac:dyDescent="0.25">
      <c r="A124" s="12" t="s">
        <v>2</v>
      </c>
      <c r="D124" s="290" t="s">
        <v>19</v>
      </c>
      <c r="E124" s="449">
        <f t="shared" si="18"/>
        <v>0.14000000000000001</v>
      </c>
      <c r="F124" s="449">
        <f t="shared" si="18"/>
        <v>0.14000000000000001</v>
      </c>
      <c r="G124" s="449">
        <f t="shared" si="18"/>
        <v>0.14000000000000001</v>
      </c>
      <c r="H124" s="449">
        <f t="shared" si="18"/>
        <v>0.14000000000000001</v>
      </c>
      <c r="I124" s="449">
        <f t="shared" si="18"/>
        <v>0.14000000000000001</v>
      </c>
      <c r="J124" s="449">
        <f t="shared" si="18"/>
        <v>0.14000000000000001</v>
      </c>
      <c r="K124" s="449">
        <f t="shared" si="18"/>
        <v>0.14000000000000001</v>
      </c>
      <c r="L124" s="449">
        <f t="shared" si="18"/>
        <v>0.14000000000000001</v>
      </c>
      <c r="M124" s="449">
        <f t="shared" si="18"/>
        <v>0.14000000000000001</v>
      </c>
      <c r="N124" s="449">
        <f t="shared" si="18"/>
        <v>0.14000000000000001</v>
      </c>
      <c r="O124" s="449">
        <f t="shared" si="18"/>
        <v>0.14000000000000001</v>
      </c>
      <c r="P124" s="449">
        <f t="shared" si="18"/>
        <v>0.14000000000000001</v>
      </c>
      <c r="Q124" s="9"/>
      <c r="R124" s="9"/>
      <c r="S124" s="9"/>
      <c r="T124" s="9"/>
      <c r="U124" s="9"/>
      <c r="V124" s="9"/>
      <c r="W124" s="9"/>
      <c r="X124" s="9"/>
      <c r="Y124" s="9"/>
    </row>
    <row r="125" spans="1:25" s="11" customFormat="1" x14ac:dyDescent="0.25">
      <c r="A125" s="12" t="s">
        <v>3</v>
      </c>
      <c r="D125" s="290" t="s">
        <v>19</v>
      </c>
      <c r="E125" s="449">
        <f t="shared" si="18"/>
        <v>0.14000000000000001</v>
      </c>
      <c r="F125" s="449">
        <f t="shared" si="18"/>
        <v>0.14000000000000001</v>
      </c>
      <c r="G125" s="449">
        <f t="shared" si="18"/>
        <v>0.14000000000000001</v>
      </c>
      <c r="H125" s="449">
        <f t="shared" si="18"/>
        <v>0.14000000000000001</v>
      </c>
      <c r="I125" s="449">
        <f t="shared" si="18"/>
        <v>0.14000000000000001</v>
      </c>
      <c r="J125" s="449">
        <f t="shared" si="18"/>
        <v>0.14000000000000001</v>
      </c>
      <c r="K125" s="449">
        <f t="shared" si="18"/>
        <v>0.14000000000000001</v>
      </c>
      <c r="L125" s="449">
        <f t="shared" si="18"/>
        <v>0.14000000000000001</v>
      </c>
      <c r="M125" s="449">
        <f t="shared" si="18"/>
        <v>0.14000000000000001</v>
      </c>
      <c r="N125" s="449">
        <f t="shared" si="18"/>
        <v>0.14000000000000001</v>
      </c>
      <c r="O125" s="449">
        <f t="shared" si="18"/>
        <v>0.14000000000000001</v>
      </c>
      <c r="P125" s="449">
        <f t="shared" si="18"/>
        <v>0.14000000000000001</v>
      </c>
      <c r="Q125" s="9"/>
      <c r="R125" s="9"/>
      <c r="S125" s="9"/>
      <c r="T125" s="9"/>
      <c r="U125" s="9"/>
      <c r="V125" s="9"/>
      <c r="W125" s="9"/>
      <c r="X125" s="9"/>
      <c r="Y125" s="9"/>
    </row>
    <row r="126" spans="1:25" s="11" customFormat="1" x14ac:dyDescent="0.25">
      <c r="A126" s="12" t="s">
        <v>4</v>
      </c>
      <c r="D126" s="290" t="s">
        <v>19</v>
      </c>
      <c r="E126" s="449">
        <f t="shared" si="18"/>
        <v>0.04</v>
      </c>
      <c r="F126" s="449">
        <f t="shared" si="18"/>
        <v>0.04</v>
      </c>
      <c r="G126" s="449">
        <f t="shared" si="18"/>
        <v>0.04</v>
      </c>
      <c r="H126" s="449">
        <f t="shared" si="18"/>
        <v>0.04</v>
      </c>
      <c r="I126" s="449">
        <f t="shared" si="18"/>
        <v>0.04</v>
      </c>
      <c r="J126" s="449">
        <f t="shared" si="18"/>
        <v>0.04</v>
      </c>
      <c r="K126" s="449">
        <f t="shared" si="18"/>
        <v>0.04</v>
      </c>
      <c r="L126" s="449">
        <f t="shared" si="18"/>
        <v>0.04</v>
      </c>
      <c r="M126" s="449">
        <f t="shared" si="18"/>
        <v>0.04</v>
      </c>
      <c r="N126" s="449">
        <f t="shared" si="18"/>
        <v>0.04</v>
      </c>
      <c r="O126" s="449">
        <f t="shared" si="18"/>
        <v>0.04</v>
      </c>
      <c r="P126" s="449">
        <f t="shared" si="18"/>
        <v>0.04</v>
      </c>
      <c r="Q126" s="9"/>
      <c r="R126" s="9"/>
      <c r="S126" s="9"/>
      <c r="T126" s="9"/>
      <c r="U126" s="9"/>
      <c r="V126" s="9"/>
      <c r="W126" s="9"/>
      <c r="X126" s="9"/>
      <c r="Y126" s="9"/>
    </row>
    <row r="127" spans="1:25" s="11" customFormat="1" x14ac:dyDescent="0.25">
      <c r="A127" s="12" t="s">
        <v>5</v>
      </c>
      <c r="D127" s="290" t="s">
        <v>19</v>
      </c>
      <c r="E127" s="449">
        <f t="shared" si="18"/>
        <v>0.01</v>
      </c>
      <c r="F127" s="449">
        <f t="shared" si="18"/>
        <v>0.01</v>
      </c>
      <c r="G127" s="449">
        <f t="shared" si="18"/>
        <v>0.01</v>
      </c>
      <c r="H127" s="449">
        <f t="shared" si="18"/>
        <v>0.01</v>
      </c>
      <c r="I127" s="449">
        <f t="shared" si="18"/>
        <v>0.01</v>
      </c>
      <c r="J127" s="449">
        <f t="shared" si="18"/>
        <v>0.01</v>
      </c>
      <c r="K127" s="449">
        <f t="shared" si="18"/>
        <v>0.01</v>
      </c>
      <c r="L127" s="449">
        <f t="shared" si="18"/>
        <v>0.01</v>
      </c>
      <c r="M127" s="449">
        <f t="shared" si="18"/>
        <v>0.01</v>
      </c>
      <c r="N127" s="449">
        <f t="shared" si="18"/>
        <v>0.01</v>
      </c>
      <c r="O127" s="449">
        <f t="shared" si="18"/>
        <v>0.01</v>
      </c>
      <c r="P127" s="449">
        <f t="shared" si="18"/>
        <v>0.01</v>
      </c>
      <c r="Q127" s="9"/>
      <c r="R127" s="9"/>
      <c r="S127" s="9"/>
      <c r="T127" s="9"/>
      <c r="U127" s="9"/>
      <c r="V127" s="9"/>
      <c r="W127" s="9"/>
      <c r="X127" s="9"/>
      <c r="Y127" s="9"/>
    </row>
    <row r="128" spans="1:25" s="11" customFormat="1" x14ac:dyDescent="0.25">
      <c r="A128" s="12" t="s">
        <v>6</v>
      </c>
      <c r="D128" s="290" t="s">
        <v>19</v>
      </c>
      <c r="E128" s="449">
        <f t="shared" si="18"/>
        <v>0.01</v>
      </c>
      <c r="F128" s="449">
        <f t="shared" si="18"/>
        <v>0.01</v>
      </c>
      <c r="G128" s="449">
        <f t="shared" si="18"/>
        <v>0.01</v>
      </c>
      <c r="H128" s="449">
        <f t="shared" si="18"/>
        <v>0.01</v>
      </c>
      <c r="I128" s="449">
        <f t="shared" si="18"/>
        <v>0.01</v>
      </c>
      <c r="J128" s="449">
        <f t="shared" si="18"/>
        <v>0.01</v>
      </c>
      <c r="K128" s="449">
        <f t="shared" si="18"/>
        <v>0.01</v>
      </c>
      <c r="L128" s="449">
        <f t="shared" si="18"/>
        <v>0.01</v>
      </c>
      <c r="M128" s="449">
        <f t="shared" si="18"/>
        <v>0.01</v>
      </c>
      <c r="N128" s="449">
        <f t="shared" si="18"/>
        <v>0.01</v>
      </c>
      <c r="O128" s="449">
        <f t="shared" si="18"/>
        <v>0.01</v>
      </c>
      <c r="P128" s="449">
        <f t="shared" si="18"/>
        <v>0.01</v>
      </c>
      <c r="Q128" s="9"/>
      <c r="R128" s="9"/>
      <c r="S128" s="9"/>
      <c r="T128" s="9"/>
      <c r="U128" s="9"/>
      <c r="V128" s="9"/>
      <c r="W128" s="9"/>
      <c r="X128" s="9"/>
      <c r="Y128" s="9"/>
    </row>
    <row r="129" spans="1:25" s="11" customFormat="1" x14ac:dyDescent="0.25">
      <c r="A129" s="12" t="s">
        <v>12</v>
      </c>
      <c r="D129" s="290" t="s">
        <v>19</v>
      </c>
      <c r="E129" s="449">
        <f t="shared" si="18"/>
        <v>5.5E-2</v>
      </c>
      <c r="F129" s="449">
        <f t="shared" si="18"/>
        <v>5.5E-2</v>
      </c>
      <c r="G129" s="449">
        <f t="shared" si="18"/>
        <v>5.5E-2</v>
      </c>
      <c r="H129" s="449">
        <f t="shared" si="18"/>
        <v>5.5E-2</v>
      </c>
      <c r="I129" s="449">
        <f t="shared" si="18"/>
        <v>5.5E-2</v>
      </c>
      <c r="J129" s="449">
        <f t="shared" si="18"/>
        <v>5.5E-2</v>
      </c>
      <c r="K129" s="449">
        <f t="shared" si="18"/>
        <v>5.5E-2</v>
      </c>
      <c r="L129" s="449">
        <f t="shared" si="18"/>
        <v>5.5E-2</v>
      </c>
      <c r="M129" s="449">
        <f t="shared" si="18"/>
        <v>5.5E-2</v>
      </c>
      <c r="N129" s="449">
        <f t="shared" si="18"/>
        <v>5.5E-2</v>
      </c>
      <c r="O129" s="449">
        <f t="shared" si="18"/>
        <v>5.5E-2</v>
      </c>
      <c r="P129" s="449">
        <f t="shared" si="18"/>
        <v>5.5E-2</v>
      </c>
      <c r="Q129" s="9"/>
      <c r="R129" s="9"/>
      <c r="S129" s="9"/>
      <c r="T129" s="9"/>
      <c r="U129" s="9"/>
      <c r="V129" s="9"/>
      <c r="W129" s="9"/>
      <c r="X129" s="9"/>
      <c r="Y129" s="9"/>
    </row>
    <row r="130" spans="1:25" s="11" customFormat="1" x14ac:dyDescent="0.25">
      <c r="A130" s="12" t="s">
        <v>11</v>
      </c>
      <c r="D130" s="290" t="s">
        <v>19</v>
      </c>
      <c r="E130" s="449">
        <f t="shared" si="18"/>
        <v>2.5000000000000001E-2</v>
      </c>
      <c r="F130" s="449">
        <f t="shared" si="18"/>
        <v>2.5000000000000001E-2</v>
      </c>
      <c r="G130" s="449">
        <f t="shared" si="18"/>
        <v>2.5000000000000001E-2</v>
      </c>
      <c r="H130" s="449">
        <f t="shared" si="18"/>
        <v>2.5000000000000001E-2</v>
      </c>
      <c r="I130" s="449">
        <f t="shared" si="18"/>
        <v>2.5000000000000001E-2</v>
      </c>
      <c r="J130" s="449">
        <f t="shared" si="18"/>
        <v>2.5000000000000001E-2</v>
      </c>
      <c r="K130" s="449">
        <f t="shared" si="18"/>
        <v>2.5000000000000001E-2</v>
      </c>
      <c r="L130" s="449">
        <f t="shared" si="18"/>
        <v>2.5000000000000001E-2</v>
      </c>
      <c r="M130" s="449">
        <f t="shared" si="18"/>
        <v>2.5000000000000001E-2</v>
      </c>
      <c r="N130" s="449">
        <f t="shared" si="18"/>
        <v>2.5000000000000001E-2</v>
      </c>
      <c r="O130" s="449">
        <f t="shared" si="18"/>
        <v>2.5000000000000001E-2</v>
      </c>
      <c r="P130" s="449">
        <f t="shared" si="18"/>
        <v>2.5000000000000001E-2</v>
      </c>
      <c r="Q130" s="9"/>
      <c r="R130" s="9"/>
      <c r="S130" s="9"/>
      <c r="T130" s="9"/>
      <c r="U130" s="9"/>
      <c r="V130" s="9"/>
      <c r="W130" s="9"/>
      <c r="X130" s="9"/>
      <c r="Y130" s="9"/>
    </row>
    <row r="131" spans="1:25" s="11" customFormat="1" x14ac:dyDescent="0.25">
      <c r="A131" s="12" t="s">
        <v>7</v>
      </c>
      <c r="D131" s="290" t="s">
        <v>19</v>
      </c>
      <c r="E131" s="449">
        <f t="shared" si="18"/>
        <v>0.08</v>
      </c>
      <c r="F131" s="449">
        <f t="shared" si="18"/>
        <v>0.08</v>
      </c>
      <c r="G131" s="449">
        <f t="shared" si="18"/>
        <v>0.08</v>
      </c>
      <c r="H131" s="449">
        <f t="shared" si="18"/>
        <v>0.08</v>
      </c>
      <c r="I131" s="449">
        <f t="shared" si="18"/>
        <v>0.08</v>
      </c>
      <c r="J131" s="449">
        <f t="shared" si="18"/>
        <v>0.08</v>
      </c>
      <c r="K131" s="449">
        <f t="shared" si="18"/>
        <v>0.08</v>
      </c>
      <c r="L131" s="449">
        <f t="shared" si="18"/>
        <v>0.08</v>
      </c>
      <c r="M131" s="449">
        <f t="shared" si="18"/>
        <v>0.08</v>
      </c>
      <c r="N131" s="449">
        <f t="shared" si="18"/>
        <v>0.08</v>
      </c>
      <c r="O131" s="449">
        <f t="shared" si="18"/>
        <v>0.08</v>
      </c>
      <c r="P131" s="449">
        <f t="shared" si="18"/>
        <v>0.08</v>
      </c>
      <c r="Q131" s="9"/>
      <c r="R131" s="9"/>
      <c r="S131" s="9"/>
      <c r="T131" s="9"/>
      <c r="U131" s="9"/>
      <c r="V131" s="9"/>
      <c r="W131" s="9"/>
      <c r="X131" s="9"/>
      <c r="Y131" s="9"/>
    </row>
    <row r="132" spans="1:25" s="11" customFormat="1" x14ac:dyDescent="0.25">
      <c r="A132" s="12" t="s">
        <v>8</v>
      </c>
      <c r="D132" s="290" t="s">
        <v>19</v>
      </c>
      <c r="E132" s="449">
        <f t="shared" si="18"/>
        <v>2.5000000000000001E-2</v>
      </c>
      <c r="F132" s="449">
        <f t="shared" si="18"/>
        <v>2.5000000000000001E-2</v>
      </c>
      <c r="G132" s="449">
        <f t="shared" si="18"/>
        <v>2.5000000000000001E-2</v>
      </c>
      <c r="H132" s="449">
        <f t="shared" si="18"/>
        <v>2.5000000000000001E-2</v>
      </c>
      <c r="I132" s="449">
        <f t="shared" si="18"/>
        <v>2.5000000000000001E-2</v>
      </c>
      <c r="J132" s="449">
        <f t="shared" si="18"/>
        <v>2.5000000000000001E-2</v>
      </c>
      <c r="K132" s="449">
        <f t="shared" si="18"/>
        <v>2.5000000000000001E-2</v>
      </c>
      <c r="L132" s="449">
        <f t="shared" si="18"/>
        <v>2.5000000000000001E-2</v>
      </c>
      <c r="M132" s="449">
        <f t="shared" si="18"/>
        <v>2.5000000000000001E-2</v>
      </c>
      <c r="N132" s="449">
        <f t="shared" si="18"/>
        <v>2.5000000000000001E-2</v>
      </c>
      <c r="O132" s="449">
        <f t="shared" si="18"/>
        <v>2.5000000000000001E-2</v>
      </c>
      <c r="P132" s="449">
        <f t="shared" si="18"/>
        <v>2.5000000000000001E-2</v>
      </c>
      <c r="Q132" s="9"/>
      <c r="R132" s="9"/>
      <c r="S132" s="9"/>
      <c r="T132" s="9"/>
      <c r="U132" s="9"/>
      <c r="V132" s="9"/>
      <c r="W132" s="9"/>
      <c r="X132" s="9"/>
      <c r="Y132" s="9"/>
    </row>
    <row r="133" spans="1:25" s="11" customFormat="1" x14ac:dyDescent="0.25">
      <c r="A133" s="12" t="s">
        <v>9</v>
      </c>
      <c r="D133" s="290" t="s">
        <v>19</v>
      </c>
      <c r="E133" s="449">
        <f t="shared" si="18"/>
        <v>0.13</v>
      </c>
      <c r="F133" s="449">
        <f t="shared" si="18"/>
        <v>0.13</v>
      </c>
      <c r="G133" s="449">
        <f t="shared" si="18"/>
        <v>0.13</v>
      </c>
      <c r="H133" s="449">
        <f t="shared" si="18"/>
        <v>0.13</v>
      </c>
      <c r="I133" s="449">
        <f t="shared" si="18"/>
        <v>0.13</v>
      </c>
      <c r="J133" s="449">
        <f t="shared" si="18"/>
        <v>0.13</v>
      </c>
      <c r="K133" s="449">
        <f t="shared" si="18"/>
        <v>0.13</v>
      </c>
      <c r="L133" s="449">
        <f t="shared" si="18"/>
        <v>0.13</v>
      </c>
      <c r="M133" s="449">
        <f t="shared" si="18"/>
        <v>0.13</v>
      </c>
      <c r="N133" s="449">
        <f t="shared" si="18"/>
        <v>0.13</v>
      </c>
      <c r="O133" s="449">
        <f t="shared" si="18"/>
        <v>0.13</v>
      </c>
      <c r="P133" s="449">
        <f t="shared" si="18"/>
        <v>0.13</v>
      </c>
      <c r="Q133" s="9"/>
      <c r="R133" s="9"/>
      <c r="S133" s="9"/>
      <c r="T133" s="9"/>
      <c r="U133" s="9"/>
      <c r="V133" s="9"/>
      <c r="W133" s="9"/>
      <c r="X133" s="9"/>
      <c r="Y133" s="9"/>
    </row>
    <row r="134" spans="1:25" s="11" customFormat="1" x14ac:dyDescent="0.25">
      <c r="A134" s="12" t="s">
        <v>10</v>
      </c>
      <c r="D134" s="290" t="s">
        <v>19</v>
      </c>
      <c r="E134" s="449">
        <f t="shared" si="18"/>
        <v>5.0000000000000001E-3</v>
      </c>
      <c r="F134" s="449">
        <f t="shared" si="18"/>
        <v>5.0000000000000001E-3</v>
      </c>
      <c r="G134" s="449">
        <f t="shared" si="18"/>
        <v>5.0000000000000001E-3</v>
      </c>
      <c r="H134" s="449">
        <f t="shared" si="18"/>
        <v>5.0000000000000001E-3</v>
      </c>
      <c r="I134" s="449">
        <f t="shared" si="18"/>
        <v>5.0000000000000001E-3</v>
      </c>
      <c r="J134" s="449">
        <f t="shared" si="18"/>
        <v>5.0000000000000001E-3</v>
      </c>
      <c r="K134" s="449">
        <f t="shared" si="18"/>
        <v>5.0000000000000001E-3</v>
      </c>
      <c r="L134" s="449">
        <f t="shared" si="18"/>
        <v>5.0000000000000001E-3</v>
      </c>
      <c r="M134" s="449">
        <f t="shared" si="18"/>
        <v>5.0000000000000001E-3</v>
      </c>
      <c r="N134" s="449">
        <f t="shared" si="18"/>
        <v>5.0000000000000001E-3</v>
      </c>
      <c r="O134" s="449">
        <f t="shared" si="18"/>
        <v>5.0000000000000001E-3</v>
      </c>
      <c r="P134" s="449">
        <f t="shared" si="18"/>
        <v>5.0000000000000001E-3</v>
      </c>
      <c r="Q134" s="9"/>
      <c r="R134" s="9"/>
      <c r="S134" s="9"/>
      <c r="T134" s="9"/>
      <c r="U134" s="9"/>
      <c r="V134" s="9"/>
      <c r="W134" s="9"/>
      <c r="X134" s="9"/>
      <c r="Y134" s="9"/>
    </row>
    <row r="135" spans="1:25" s="11" customFormat="1" x14ac:dyDescent="0.25">
      <c r="A135" s="12"/>
      <c r="D135" s="292"/>
      <c r="E135" s="15"/>
      <c r="F135" s="15"/>
      <c r="G135" s="15"/>
      <c r="H135" s="15"/>
      <c r="I135" s="15"/>
      <c r="J135" s="15"/>
      <c r="K135" s="15"/>
      <c r="L135" s="15"/>
      <c r="M135" s="15"/>
      <c r="N135" s="15"/>
      <c r="O135" s="15"/>
      <c r="P135" s="15"/>
    </row>
    <row r="136" spans="1:25" x14ac:dyDescent="0.25">
      <c r="A136" s="172" t="str">
        <f>A28</f>
        <v>Общо образувани битови отпадъци</v>
      </c>
      <c r="D136" s="305" t="s">
        <v>22</v>
      </c>
      <c r="E136" s="25">
        <f>E181+E151</f>
        <v>10500</v>
      </c>
      <c r="F136" s="25">
        <f t="shared" ref="F136:P136" si="19">F181+F151</f>
        <v>10500</v>
      </c>
      <c r="G136" s="25">
        <f t="shared" si="19"/>
        <v>10500</v>
      </c>
      <c r="H136" s="25">
        <f t="shared" si="19"/>
        <v>10500</v>
      </c>
      <c r="I136" s="25">
        <f t="shared" si="19"/>
        <v>10500</v>
      </c>
      <c r="J136" s="25">
        <f t="shared" si="19"/>
        <v>10500</v>
      </c>
      <c r="K136" s="25">
        <f t="shared" si="19"/>
        <v>10500</v>
      </c>
      <c r="L136" s="25">
        <f t="shared" si="19"/>
        <v>10500</v>
      </c>
      <c r="M136" s="25">
        <f t="shared" si="19"/>
        <v>10500</v>
      </c>
      <c r="N136" s="25">
        <f t="shared" si="19"/>
        <v>10500</v>
      </c>
      <c r="O136" s="25">
        <f t="shared" si="19"/>
        <v>10500</v>
      </c>
      <c r="P136" s="25">
        <f t="shared" si="19"/>
        <v>10500</v>
      </c>
    </row>
    <row r="137" spans="1:25" x14ac:dyDescent="0.25">
      <c r="A137" s="12" t="s">
        <v>0</v>
      </c>
      <c r="D137" s="292" t="s">
        <v>22</v>
      </c>
      <c r="E137" s="24">
        <f t="shared" ref="E137:P137" si="20">E182+E152</f>
        <v>2205</v>
      </c>
      <c r="F137" s="24">
        <f t="shared" si="20"/>
        <v>2205</v>
      </c>
      <c r="G137" s="24">
        <f t="shared" si="20"/>
        <v>2205</v>
      </c>
      <c r="H137" s="24">
        <f t="shared" si="20"/>
        <v>2205</v>
      </c>
      <c r="I137" s="24">
        <f t="shared" si="20"/>
        <v>2205</v>
      </c>
      <c r="J137" s="24">
        <f t="shared" si="20"/>
        <v>2205</v>
      </c>
      <c r="K137" s="24">
        <f t="shared" si="20"/>
        <v>2205</v>
      </c>
      <c r="L137" s="24">
        <f t="shared" si="20"/>
        <v>2205</v>
      </c>
      <c r="M137" s="24">
        <f t="shared" si="20"/>
        <v>2205</v>
      </c>
      <c r="N137" s="24">
        <f t="shared" si="20"/>
        <v>2205</v>
      </c>
      <c r="O137" s="24">
        <f t="shared" si="20"/>
        <v>2205</v>
      </c>
      <c r="P137" s="24">
        <f t="shared" si="20"/>
        <v>2205</v>
      </c>
    </row>
    <row r="138" spans="1:25" x14ac:dyDescent="0.25">
      <c r="A138" s="12" t="s">
        <v>1</v>
      </c>
      <c r="D138" s="292" t="s">
        <v>22</v>
      </c>
      <c r="E138" s="24">
        <f t="shared" ref="E138:P138" si="21">E183+E153</f>
        <v>1365</v>
      </c>
      <c r="F138" s="24">
        <f t="shared" si="21"/>
        <v>1365</v>
      </c>
      <c r="G138" s="24">
        <f t="shared" si="21"/>
        <v>1365</v>
      </c>
      <c r="H138" s="24">
        <f t="shared" si="21"/>
        <v>1365</v>
      </c>
      <c r="I138" s="24">
        <f t="shared" si="21"/>
        <v>1365</v>
      </c>
      <c r="J138" s="24">
        <f t="shared" si="21"/>
        <v>1365</v>
      </c>
      <c r="K138" s="24">
        <f t="shared" si="21"/>
        <v>1365</v>
      </c>
      <c r="L138" s="24">
        <f t="shared" si="21"/>
        <v>1365</v>
      </c>
      <c r="M138" s="24">
        <f t="shared" si="21"/>
        <v>1365</v>
      </c>
      <c r="N138" s="24">
        <f t="shared" si="21"/>
        <v>1365</v>
      </c>
      <c r="O138" s="24">
        <f t="shared" si="21"/>
        <v>1365</v>
      </c>
      <c r="P138" s="24">
        <f t="shared" si="21"/>
        <v>1365</v>
      </c>
    </row>
    <row r="139" spans="1:25" x14ac:dyDescent="0.25">
      <c r="A139" s="12" t="s">
        <v>2</v>
      </c>
      <c r="D139" s="292" t="s">
        <v>22</v>
      </c>
      <c r="E139" s="24">
        <f t="shared" ref="E139:P139" si="22">E184+E154</f>
        <v>1470.0000000000002</v>
      </c>
      <c r="F139" s="24">
        <f t="shared" si="22"/>
        <v>1470.0000000000002</v>
      </c>
      <c r="G139" s="24">
        <f t="shared" si="22"/>
        <v>1470.0000000000002</v>
      </c>
      <c r="H139" s="24">
        <f t="shared" si="22"/>
        <v>1470.0000000000002</v>
      </c>
      <c r="I139" s="24">
        <f t="shared" si="22"/>
        <v>1470.0000000000002</v>
      </c>
      <c r="J139" s="24">
        <f t="shared" si="22"/>
        <v>1470.0000000000002</v>
      </c>
      <c r="K139" s="24">
        <f t="shared" si="22"/>
        <v>1470.0000000000002</v>
      </c>
      <c r="L139" s="24">
        <f t="shared" si="22"/>
        <v>1470.0000000000002</v>
      </c>
      <c r="M139" s="24">
        <f t="shared" si="22"/>
        <v>1470.0000000000002</v>
      </c>
      <c r="N139" s="24">
        <f t="shared" si="22"/>
        <v>1470.0000000000002</v>
      </c>
      <c r="O139" s="24">
        <f t="shared" si="22"/>
        <v>1470.0000000000002</v>
      </c>
      <c r="P139" s="24">
        <f t="shared" si="22"/>
        <v>1470.0000000000002</v>
      </c>
    </row>
    <row r="140" spans="1:25" x14ac:dyDescent="0.25">
      <c r="A140" s="12" t="s">
        <v>3</v>
      </c>
      <c r="D140" s="292" t="s">
        <v>22</v>
      </c>
      <c r="E140" s="24">
        <f t="shared" ref="E140:P140" si="23">E185+E155</f>
        <v>1470.0000000000002</v>
      </c>
      <c r="F140" s="24">
        <f t="shared" si="23"/>
        <v>1470.0000000000002</v>
      </c>
      <c r="G140" s="24">
        <f t="shared" si="23"/>
        <v>1470.0000000000002</v>
      </c>
      <c r="H140" s="24">
        <f t="shared" si="23"/>
        <v>1470.0000000000002</v>
      </c>
      <c r="I140" s="24">
        <f t="shared" si="23"/>
        <v>1470.0000000000002</v>
      </c>
      <c r="J140" s="24">
        <f t="shared" si="23"/>
        <v>1470.0000000000002</v>
      </c>
      <c r="K140" s="24">
        <f t="shared" si="23"/>
        <v>1470.0000000000002</v>
      </c>
      <c r="L140" s="24">
        <f t="shared" si="23"/>
        <v>1470.0000000000002</v>
      </c>
      <c r="M140" s="24">
        <f t="shared" si="23"/>
        <v>1470.0000000000002</v>
      </c>
      <c r="N140" s="24">
        <f t="shared" si="23"/>
        <v>1470.0000000000002</v>
      </c>
      <c r="O140" s="24">
        <f t="shared" si="23"/>
        <v>1470.0000000000002</v>
      </c>
      <c r="P140" s="24">
        <f t="shared" si="23"/>
        <v>1470.0000000000002</v>
      </c>
    </row>
    <row r="141" spans="1:25" x14ac:dyDescent="0.25">
      <c r="A141" s="12" t="s">
        <v>4</v>
      </c>
      <c r="D141" s="292" t="s">
        <v>22</v>
      </c>
      <c r="E141" s="24">
        <f t="shared" ref="E141:P141" si="24">E186+E156</f>
        <v>420</v>
      </c>
      <c r="F141" s="24">
        <f t="shared" si="24"/>
        <v>420</v>
      </c>
      <c r="G141" s="24">
        <f t="shared" si="24"/>
        <v>420</v>
      </c>
      <c r="H141" s="24">
        <f t="shared" si="24"/>
        <v>420</v>
      </c>
      <c r="I141" s="24">
        <f t="shared" si="24"/>
        <v>420</v>
      </c>
      <c r="J141" s="24">
        <f t="shared" si="24"/>
        <v>420</v>
      </c>
      <c r="K141" s="24">
        <f t="shared" si="24"/>
        <v>420</v>
      </c>
      <c r="L141" s="24">
        <f t="shared" si="24"/>
        <v>420</v>
      </c>
      <c r="M141" s="24">
        <f t="shared" si="24"/>
        <v>420</v>
      </c>
      <c r="N141" s="24">
        <f t="shared" si="24"/>
        <v>420</v>
      </c>
      <c r="O141" s="24">
        <f t="shared" si="24"/>
        <v>420</v>
      </c>
      <c r="P141" s="24">
        <f t="shared" si="24"/>
        <v>420</v>
      </c>
    </row>
    <row r="142" spans="1:25" x14ac:dyDescent="0.25">
      <c r="A142" s="12" t="s">
        <v>5</v>
      </c>
      <c r="D142" s="292" t="s">
        <v>22</v>
      </c>
      <c r="E142" s="24">
        <f t="shared" ref="E142:P142" si="25">E187+E157</f>
        <v>105</v>
      </c>
      <c r="F142" s="24">
        <f t="shared" si="25"/>
        <v>105</v>
      </c>
      <c r="G142" s="24">
        <f t="shared" si="25"/>
        <v>105</v>
      </c>
      <c r="H142" s="24">
        <f t="shared" si="25"/>
        <v>105</v>
      </c>
      <c r="I142" s="24">
        <f t="shared" si="25"/>
        <v>105</v>
      </c>
      <c r="J142" s="24">
        <f t="shared" si="25"/>
        <v>105</v>
      </c>
      <c r="K142" s="24">
        <f t="shared" si="25"/>
        <v>105</v>
      </c>
      <c r="L142" s="24">
        <f t="shared" si="25"/>
        <v>105</v>
      </c>
      <c r="M142" s="24">
        <f t="shared" si="25"/>
        <v>105</v>
      </c>
      <c r="N142" s="24">
        <f t="shared" si="25"/>
        <v>105</v>
      </c>
      <c r="O142" s="24">
        <f t="shared" si="25"/>
        <v>105</v>
      </c>
      <c r="P142" s="24">
        <f t="shared" si="25"/>
        <v>105</v>
      </c>
    </row>
    <row r="143" spans="1:25" x14ac:dyDescent="0.25">
      <c r="A143" s="12" t="s">
        <v>6</v>
      </c>
      <c r="D143" s="292" t="s">
        <v>22</v>
      </c>
      <c r="E143" s="24">
        <f t="shared" ref="E143:P143" si="26">E188+E158</f>
        <v>105</v>
      </c>
      <c r="F143" s="24">
        <f t="shared" si="26"/>
        <v>105</v>
      </c>
      <c r="G143" s="24">
        <f t="shared" si="26"/>
        <v>105</v>
      </c>
      <c r="H143" s="24">
        <f t="shared" si="26"/>
        <v>105</v>
      </c>
      <c r="I143" s="24">
        <f t="shared" si="26"/>
        <v>105</v>
      </c>
      <c r="J143" s="24">
        <f t="shared" si="26"/>
        <v>105</v>
      </c>
      <c r="K143" s="24">
        <f t="shared" si="26"/>
        <v>105</v>
      </c>
      <c r="L143" s="24">
        <f t="shared" si="26"/>
        <v>105</v>
      </c>
      <c r="M143" s="24">
        <f t="shared" si="26"/>
        <v>105</v>
      </c>
      <c r="N143" s="24">
        <f t="shared" si="26"/>
        <v>105</v>
      </c>
      <c r="O143" s="24">
        <f t="shared" si="26"/>
        <v>105</v>
      </c>
      <c r="P143" s="24">
        <f t="shared" si="26"/>
        <v>105</v>
      </c>
    </row>
    <row r="144" spans="1:25" x14ac:dyDescent="0.25">
      <c r="A144" s="12" t="s">
        <v>12</v>
      </c>
      <c r="D144" s="292" t="s">
        <v>22</v>
      </c>
      <c r="E144" s="24">
        <f t="shared" ref="E144:P144" si="27">E189+E159</f>
        <v>577.5</v>
      </c>
      <c r="F144" s="24">
        <f t="shared" si="27"/>
        <v>577.5</v>
      </c>
      <c r="G144" s="24">
        <f t="shared" si="27"/>
        <v>577.5</v>
      </c>
      <c r="H144" s="24">
        <f t="shared" si="27"/>
        <v>577.5</v>
      </c>
      <c r="I144" s="24">
        <f t="shared" si="27"/>
        <v>577.5</v>
      </c>
      <c r="J144" s="24">
        <f t="shared" si="27"/>
        <v>577.5</v>
      </c>
      <c r="K144" s="24">
        <f t="shared" si="27"/>
        <v>577.5</v>
      </c>
      <c r="L144" s="24">
        <f t="shared" si="27"/>
        <v>577.5</v>
      </c>
      <c r="M144" s="24">
        <f t="shared" si="27"/>
        <v>577.5</v>
      </c>
      <c r="N144" s="24">
        <f t="shared" si="27"/>
        <v>577.5</v>
      </c>
      <c r="O144" s="24">
        <f t="shared" si="27"/>
        <v>577.5</v>
      </c>
      <c r="P144" s="24">
        <f t="shared" si="27"/>
        <v>577.5</v>
      </c>
    </row>
    <row r="145" spans="1:16" x14ac:dyDescent="0.25">
      <c r="A145" s="12" t="s">
        <v>11</v>
      </c>
      <c r="D145" s="292" t="s">
        <v>22</v>
      </c>
      <c r="E145" s="24">
        <f t="shared" ref="E145:P145" si="28">E190+E160</f>
        <v>262.5</v>
      </c>
      <c r="F145" s="24">
        <f t="shared" si="28"/>
        <v>262.5</v>
      </c>
      <c r="G145" s="24">
        <f t="shared" si="28"/>
        <v>262.5</v>
      </c>
      <c r="H145" s="24">
        <f t="shared" si="28"/>
        <v>262.5</v>
      </c>
      <c r="I145" s="24">
        <f t="shared" si="28"/>
        <v>262.5</v>
      </c>
      <c r="J145" s="24">
        <f t="shared" si="28"/>
        <v>262.5</v>
      </c>
      <c r="K145" s="24">
        <f t="shared" si="28"/>
        <v>262.5</v>
      </c>
      <c r="L145" s="24">
        <f t="shared" si="28"/>
        <v>262.5</v>
      </c>
      <c r="M145" s="24">
        <f t="shared" si="28"/>
        <v>262.5</v>
      </c>
      <c r="N145" s="24">
        <f t="shared" si="28"/>
        <v>262.5</v>
      </c>
      <c r="O145" s="24">
        <f t="shared" si="28"/>
        <v>262.5</v>
      </c>
      <c r="P145" s="24">
        <f t="shared" si="28"/>
        <v>262.5</v>
      </c>
    </row>
    <row r="146" spans="1:16" x14ac:dyDescent="0.25">
      <c r="A146" s="12" t="s">
        <v>7</v>
      </c>
      <c r="D146" s="292" t="s">
        <v>22</v>
      </c>
      <c r="E146" s="24">
        <f t="shared" ref="E146:P146" si="29">E191+E161</f>
        <v>840</v>
      </c>
      <c r="F146" s="24">
        <f t="shared" si="29"/>
        <v>840</v>
      </c>
      <c r="G146" s="24">
        <f t="shared" si="29"/>
        <v>840</v>
      </c>
      <c r="H146" s="24">
        <f t="shared" si="29"/>
        <v>840</v>
      </c>
      <c r="I146" s="24">
        <f t="shared" si="29"/>
        <v>840</v>
      </c>
      <c r="J146" s="24">
        <f t="shared" si="29"/>
        <v>840</v>
      </c>
      <c r="K146" s="24">
        <f t="shared" si="29"/>
        <v>840</v>
      </c>
      <c r="L146" s="24">
        <f t="shared" si="29"/>
        <v>840</v>
      </c>
      <c r="M146" s="24">
        <f t="shared" si="29"/>
        <v>840</v>
      </c>
      <c r="N146" s="24">
        <f t="shared" si="29"/>
        <v>840</v>
      </c>
      <c r="O146" s="24">
        <f t="shared" si="29"/>
        <v>840</v>
      </c>
      <c r="P146" s="24">
        <f t="shared" si="29"/>
        <v>840</v>
      </c>
    </row>
    <row r="147" spans="1:16" x14ac:dyDescent="0.25">
      <c r="A147" s="12" t="s">
        <v>8</v>
      </c>
      <c r="D147" s="292" t="s">
        <v>22</v>
      </c>
      <c r="E147" s="24">
        <f t="shared" ref="E147:P147" si="30">E192+E162</f>
        <v>262.5</v>
      </c>
      <c r="F147" s="24">
        <f t="shared" si="30"/>
        <v>262.5</v>
      </c>
      <c r="G147" s="24">
        <f t="shared" si="30"/>
        <v>262.5</v>
      </c>
      <c r="H147" s="24">
        <f t="shared" si="30"/>
        <v>262.5</v>
      </c>
      <c r="I147" s="24">
        <f t="shared" si="30"/>
        <v>262.5</v>
      </c>
      <c r="J147" s="24">
        <f t="shared" si="30"/>
        <v>262.5</v>
      </c>
      <c r="K147" s="24">
        <f t="shared" si="30"/>
        <v>262.5</v>
      </c>
      <c r="L147" s="24">
        <f t="shared" si="30"/>
        <v>262.5</v>
      </c>
      <c r="M147" s="24">
        <f t="shared" si="30"/>
        <v>262.5</v>
      </c>
      <c r="N147" s="24">
        <f t="shared" si="30"/>
        <v>262.5</v>
      </c>
      <c r="O147" s="24">
        <f t="shared" si="30"/>
        <v>262.5</v>
      </c>
      <c r="P147" s="24">
        <f t="shared" si="30"/>
        <v>262.5</v>
      </c>
    </row>
    <row r="148" spans="1:16" x14ac:dyDescent="0.25">
      <c r="A148" s="12" t="s">
        <v>9</v>
      </c>
      <c r="D148" s="292" t="s">
        <v>22</v>
      </c>
      <c r="E148" s="24">
        <f t="shared" ref="E148:P148" si="31">E193+E163</f>
        <v>1365</v>
      </c>
      <c r="F148" s="24">
        <f t="shared" si="31"/>
        <v>1365</v>
      </c>
      <c r="G148" s="24">
        <f t="shared" si="31"/>
        <v>1365</v>
      </c>
      <c r="H148" s="24">
        <f t="shared" si="31"/>
        <v>1365</v>
      </c>
      <c r="I148" s="24">
        <f t="shared" si="31"/>
        <v>1365</v>
      </c>
      <c r="J148" s="24">
        <f t="shared" si="31"/>
        <v>1365</v>
      </c>
      <c r="K148" s="24">
        <f t="shared" si="31"/>
        <v>1365</v>
      </c>
      <c r="L148" s="24">
        <f t="shared" si="31"/>
        <v>1365</v>
      </c>
      <c r="M148" s="24">
        <f t="shared" si="31"/>
        <v>1365</v>
      </c>
      <c r="N148" s="24">
        <f t="shared" si="31"/>
        <v>1365</v>
      </c>
      <c r="O148" s="24">
        <f t="shared" si="31"/>
        <v>1365</v>
      </c>
      <c r="P148" s="24">
        <f t="shared" si="31"/>
        <v>1365</v>
      </c>
    </row>
    <row r="149" spans="1:16" x14ac:dyDescent="0.25">
      <c r="A149" s="12" t="s">
        <v>10</v>
      </c>
      <c r="D149" s="292" t="s">
        <v>22</v>
      </c>
      <c r="E149" s="24">
        <f t="shared" ref="E149:P149" si="32">E194+E164</f>
        <v>52.5</v>
      </c>
      <c r="F149" s="24">
        <f t="shared" si="32"/>
        <v>52.5</v>
      </c>
      <c r="G149" s="24">
        <f t="shared" si="32"/>
        <v>52.5</v>
      </c>
      <c r="H149" s="24">
        <f t="shared" si="32"/>
        <v>52.5</v>
      </c>
      <c r="I149" s="24">
        <f t="shared" si="32"/>
        <v>52.5</v>
      </c>
      <c r="J149" s="24">
        <f t="shared" si="32"/>
        <v>52.5</v>
      </c>
      <c r="K149" s="24">
        <f t="shared" si="32"/>
        <v>52.5</v>
      </c>
      <c r="L149" s="24">
        <f t="shared" si="32"/>
        <v>52.5</v>
      </c>
      <c r="M149" s="24">
        <f t="shared" si="32"/>
        <v>52.5</v>
      </c>
      <c r="N149" s="24">
        <f t="shared" si="32"/>
        <v>52.5</v>
      </c>
      <c r="O149" s="24">
        <f t="shared" si="32"/>
        <v>52.5</v>
      </c>
      <c r="P149" s="24">
        <f t="shared" si="32"/>
        <v>52.5</v>
      </c>
    </row>
    <row r="150" spans="1:16" x14ac:dyDescent="0.25">
      <c r="A150" s="12"/>
      <c r="D150" s="292"/>
      <c r="E150" s="24"/>
      <c r="F150" s="24"/>
      <c r="G150" s="24"/>
      <c r="H150" s="24"/>
      <c r="I150" s="24"/>
      <c r="J150" s="24"/>
      <c r="K150" s="24"/>
      <c r="L150" s="24"/>
      <c r="M150" s="24"/>
      <c r="N150" s="24"/>
      <c r="O150" s="24"/>
      <c r="P150" s="24"/>
    </row>
    <row r="151" spans="1:16" x14ac:dyDescent="0.25">
      <c r="A151" s="172" t="str">
        <f>A43</f>
        <v>Общо образувани отпадъци, юридически лица</v>
      </c>
      <c r="D151" s="305" t="s">
        <v>22</v>
      </c>
      <c r="E151" s="25">
        <f>'Изходни данни'!C110</f>
        <v>1750</v>
      </c>
      <c r="F151" s="25">
        <f>'Изходни данни'!D110</f>
        <v>1750</v>
      </c>
      <c r="G151" s="25">
        <f>'Изходни данни'!E110</f>
        <v>1750</v>
      </c>
      <c r="H151" s="25">
        <f>'Изходни данни'!F110</f>
        <v>1750</v>
      </c>
      <c r="I151" s="25">
        <f>'Изходни данни'!G110</f>
        <v>1750</v>
      </c>
      <c r="J151" s="25">
        <f>'Изходни данни'!H110</f>
        <v>1750</v>
      </c>
      <c r="K151" s="25">
        <f>'Изходни данни'!I110</f>
        <v>1750</v>
      </c>
      <c r="L151" s="25">
        <f>'Изходни данни'!J110</f>
        <v>1750</v>
      </c>
      <c r="M151" s="25">
        <f>'Изходни данни'!K110</f>
        <v>1750</v>
      </c>
      <c r="N151" s="25">
        <f>'Изходни данни'!L110</f>
        <v>1750</v>
      </c>
      <c r="O151" s="25">
        <f>'Изходни данни'!M110</f>
        <v>1750</v>
      </c>
      <c r="P151" s="25">
        <f>'Изходни данни'!N110</f>
        <v>1750</v>
      </c>
    </row>
    <row r="152" spans="1:16" ht="12" customHeight="1" x14ac:dyDescent="0.25">
      <c r="A152" s="12" t="s">
        <v>0</v>
      </c>
      <c r="C152" s="18"/>
      <c r="D152" s="292" t="s">
        <v>22</v>
      </c>
      <c r="E152" s="24">
        <f>E167*E$151</f>
        <v>367.5</v>
      </c>
      <c r="F152" s="24">
        <f t="shared" ref="F152:P152" si="33">F167*F$151</f>
        <v>367.5</v>
      </c>
      <c r="G152" s="24">
        <f t="shared" si="33"/>
        <v>367.5</v>
      </c>
      <c r="H152" s="24">
        <f t="shared" si="33"/>
        <v>367.5</v>
      </c>
      <c r="I152" s="24">
        <f t="shared" si="33"/>
        <v>367.5</v>
      </c>
      <c r="J152" s="24">
        <f t="shared" si="33"/>
        <v>367.5</v>
      </c>
      <c r="K152" s="24">
        <f t="shared" si="33"/>
        <v>367.5</v>
      </c>
      <c r="L152" s="24">
        <f t="shared" si="33"/>
        <v>367.5</v>
      </c>
      <c r="M152" s="24">
        <f t="shared" si="33"/>
        <v>367.5</v>
      </c>
      <c r="N152" s="24">
        <f t="shared" si="33"/>
        <v>367.5</v>
      </c>
      <c r="O152" s="24">
        <f t="shared" si="33"/>
        <v>367.5</v>
      </c>
      <c r="P152" s="24">
        <f t="shared" si="33"/>
        <v>367.5</v>
      </c>
    </row>
    <row r="153" spans="1:16" ht="12" customHeight="1" x14ac:dyDescent="0.25">
      <c r="A153" s="12" t="s">
        <v>1</v>
      </c>
      <c r="C153" s="18"/>
      <c r="D153" s="292" t="s">
        <v>22</v>
      </c>
      <c r="E153" s="24">
        <f t="shared" ref="E153:P164" si="34">E168*E$151</f>
        <v>227.5</v>
      </c>
      <c r="F153" s="24">
        <f t="shared" si="34"/>
        <v>227.5</v>
      </c>
      <c r="G153" s="24">
        <f t="shared" si="34"/>
        <v>227.5</v>
      </c>
      <c r="H153" s="24">
        <f t="shared" si="34"/>
        <v>227.5</v>
      </c>
      <c r="I153" s="24">
        <f t="shared" si="34"/>
        <v>227.5</v>
      </c>
      <c r="J153" s="24">
        <f t="shared" si="34"/>
        <v>227.5</v>
      </c>
      <c r="K153" s="24">
        <f t="shared" si="34"/>
        <v>227.5</v>
      </c>
      <c r="L153" s="24">
        <f t="shared" si="34"/>
        <v>227.5</v>
      </c>
      <c r="M153" s="24">
        <f t="shared" si="34"/>
        <v>227.5</v>
      </c>
      <c r="N153" s="24">
        <f t="shared" si="34"/>
        <v>227.5</v>
      </c>
      <c r="O153" s="24">
        <f t="shared" si="34"/>
        <v>227.5</v>
      </c>
      <c r="P153" s="24">
        <f t="shared" si="34"/>
        <v>227.5</v>
      </c>
    </row>
    <row r="154" spans="1:16" ht="12" customHeight="1" x14ac:dyDescent="0.25">
      <c r="A154" s="12" t="s">
        <v>2</v>
      </c>
      <c r="C154" s="18"/>
      <c r="D154" s="292" t="s">
        <v>22</v>
      </c>
      <c r="E154" s="24">
        <f t="shared" si="34"/>
        <v>245.00000000000003</v>
      </c>
      <c r="F154" s="24">
        <f t="shared" si="34"/>
        <v>245.00000000000003</v>
      </c>
      <c r="G154" s="24">
        <f t="shared" si="34"/>
        <v>245.00000000000003</v>
      </c>
      <c r="H154" s="24">
        <f t="shared" si="34"/>
        <v>245.00000000000003</v>
      </c>
      <c r="I154" s="24">
        <f t="shared" si="34"/>
        <v>245.00000000000003</v>
      </c>
      <c r="J154" s="24">
        <f t="shared" si="34"/>
        <v>245.00000000000003</v>
      </c>
      <c r="K154" s="24">
        <f t="shared" si="34"/>
        <v>245.00000000000003</v>
      </c>
      <c r="L154" s="24">
        <f t="shared" si="34"/>
        <v>245.00000000000003</v>
      </c>
      <c r="M154" s="24">
        <f t="shared" si="34"/>
        <v>245.00000000000003</v>
      </c>
      <c r="N154" s="24">
        <f t="shared" si="34"/>
        <v>245.00000000000003</v>
      </c>
      <c r="O154" s="24">
        <f t="shared" si="34"/>
        <v>245.00000000000003</v>
      </c>
      <c r="P154" s="24">
        <f t="shared" si="34"/>
        <v>245.00000000000003</v>
      </c>
    </row>
    <row r="155" spans="1:16" ht="12" customHeight="1" x14ac:dyDescent="0.25">
      <c r="A155" s="12" t="s">
        <v>3</v>
      </c>
      <c r="C155" s="18"/>
      <c r="D155" s="292" t="s">
        <v>22</v>
      </c>
      <c r="E155" s="24">
        <f t="shared" si="34"/>
        <v>245.00000000000003</v>
      </c>
      <c r="F155" s="24">
        <f t="shared" si="34"/>
        <v>245.00000000000003</v>
      </c>
      <c r="G155" s="24">
        <f t="shared" si="34"/>
        <v>245.00000000000003</v>
      </c>
      <c r="H155" s="24">
        <f t="shared" si="34"/>
        <v>245.00000000000003</v>
      </c>
      <c r="I155" s="24">
        <f t="shared" si="34"/>
        <v>245.00000000000003</v>
      </c>
      <c r="J155" s="24">
        <f t="shared" si="34"/>
        <v>245.00000000000003</v>
      </c>
      <c r="K155" s="24">
        <f t="shared" si="34"/>
        <v>245.00000000000003</v>
      </c>
      <c r="L155" s="24">
        <f t="shared" si="34"/>
        <v>245.00000000000003</v>
      </c>
      <c r="M155" s="24">
        <f t="shared" si="34"/>
        <v>245.00000000000003</v>
      </c>
      <c r="N155" s="24">
        <f t="shared" si="34"/>
        <v>245.00000000000003</v>
      </c>
      <c r="O155" s="24">
        <f t="shared" si="34"/>
        <v>245.00000000000003</v>
      </c>
      <c r="P155" s="24">
        <f t="shared" si="34"/>
        <v>245.00000000000003</v>
      </c>
    </row>
    <row r="156" spans="1:16" ht="12" customHeight="1" x14ac:dyDescent="0.25">
      <c r="A156" s="12" t="s">
        <v>4</v>
      </c>
      <c r="C156" s="18"/>
      <c r="D156" s="292" t="s">
        <v>22</v>
      </c>
      <c r="E156" s="24">
        <f t="shared" si="34"/>
        <v>70</v>
      </c>
      <c r="F156" s="24">
        <f t="shared" si="34"/>
        <v>70</v>
      </c>
      <c r="G156" s="24">
        <f t="shared" si="34"/>
        <v>70</v>
      </c>
      <c r="H156" s="24">
        <f t="shared" si="34"/>
        <v>70</v>
      </c>
      <c r="I156" s="24">
        <f t="shared" si="34"/>
        <v>70</v>
      </c>
      <c r="J156" s="24">
        <f t="shared" si="34"/>
        <v>70</v>
      </c>
      <c r="K156" s="24">
        <f t="shared" si="34"/>
        <v>70</v>
      </c>
      <c r="L156" s="24">
        <f t="shared" si="34"/>
        <v>70</v>
      </c>
      <c r="M156" s="24">
        <f t="shared" si="34"/>
        <v>70</v>
      </c>
      <c r="N156" s="24">
        <f t="shared" si="34"/>
        <v>70</v>
      </c>
      <c r="O156" s="24">
        <f t="shared" si="34"/>
        <v>70</v>
      </c>
      <c r="P156" s="24">
        <f t="shared" si="34"/>
        <v>70</v>
      </c>
    </row>
    <row r="157" spans="1:16" ht="12" customHeight="1" x14ac:dyDescent="0.25">
      <c r="A157" s="12" t="s">
        <v>5</v>
      </c>
      <c r="C157" s="18"/>
      <c r="D157" s="292" t="s">
        <v>22</v>
      </c>
      <c r="E157" s="24">
        <f t="shared" si="34"/>
        <v>17.5</v>
      </c>
      <c r="F157" s="24">
        <f t="shared" si="34"/>
        <v>17.5</v>
      </c>
      <c r="G157" s="24">
        <f t="shared" si="34"/>
        <v>17.5</v>
      </c>
      <c r="H157" s="24">
        <f t="shared" si="34"/>
        <v>17.5</v>
      </c>
      <c r="I157" s="24">
        <f t="shared" si="34"/>
        <v>17.5</v>
      </c>
      <c r="J157" s="24">
        <f t="shared" si="34"/>
        <v>17.5</v>
      </c>
      <c r="K157" s="24">
        <f t="shared" si="34"/>
        <v>17.5</v>
      </c>
      <c r="L157" s="24">
        <f t="shared" si="34"/>
        <v>17.5</v>
      </c>
      <c r="M157" s="24">
        <f t="shared" si="34"/>
        <v>17.5</v>
      </c>
      <c r="N157" s="24">
        <f t="shared" si="34"/>
        <v>17.5</v>
      </c>
      <c r="O157" s="24">
        <f t="shared" si="34"/>
        <v>17.5</v>
      </c>
      <c r="P157" s="24">
        <f t="shared" si="34"/>
        <v>17.5</v>
      </c>
    </row>
    <row r="158" spans="1:16" ht="12" customHeight="1" x14ac:dyDescent="0.25">
      <c r="A158" s="12" t="s">
        <v>6</v>
      </c>
      <c r="C158" s="18"/>
      <c r="D158" s="292" t="s">
        <v>22</v>
      </c>
      <c r="E158" s="24">
        <f t="shared" si="34"/>
        <v>17.5</v>
      </c>
      <c r="F158" s="24">
        <f t="shared" si="34"/>
        <v>17.5</v>
      </c>
      <c r="G158" s="24">
        <f t="shared" si="34"/>
        <v>17.5</v>
      </c>
      <c r="H158" s="24">
        <f t="shared" si="34"/>
        <v>17.5</v>
      </c>
      <c r="I158" s="24">
        <f t="shared" si="34"/>
        <v>17.5</v>
      </c>
      <c r="J158" s="24">
        <f t="shared" si="34"/>
        <v>17.5</v>
      </c>
      <c r="K158" s="24">
        <f t="shared" si="34"/>
        <v>17.5</v>
      </c>
      <c r="L158" s="24">
        <f t="shared" si="34"/>
        <v>17.5</v>
      </c>
      <c r="M158" s="24">
        <f t="shared" si="34"/>
        <v>17.5</v>
      </c>
      <c r="N158" s="24">
        <f t="shared" si="34"/>
        <v>17.5</v>
      </c>
      <c r="O158" s="24">
        <f t="shared" si="34"/>
        <v>17.5</v>
      </c>
      <c r="P158" s="24">
        <f t="shared" si="34"/>
        <v>17.5</v>
      </c>
    </row>
    <row r="159" spans="1:16" ht="12" customHeight="1" x14ac:dyDescent="0.25">
      <c r="A159" s="12" t="s">
        <v>12</v>
      </c>
      <c r="C159" s="14"/>
      <c r="D159" s="292" t="s">
        <v>22</v>
      </c>
      <c r="E159" s="24">
        <f t="shared" si="34"/>
        <v>96.25</v>
      </c>
      <c r="F159" s="24">
        <f t="shared" si="34"/>
        <v>96.25</v>
      </c>
      <c r="G159" s="24">
        <f t="shared" si="34"/>
        <v>96.25</v>
      </c>
      <c r="H159" s="24">
        <f t="shared" si="34"/>
        <v>96.25</v>
      </c>
      <c r="I159" s="24">
        <f t="shared" si="34"/>
        <v>96.25</v>
      </c>
      <c r="J159" s="24">
        <f t="shared" si="34"/>
        <v>96.25</v>
      </c>
      <c r="K159" s="24">
        <f t="shared" si="34"/>
        <v>96.25</v>
      </c>
      <c r="L159" s="24">
        <f t="shared" si="34"/>
        <v>96.25</v>
      </c>
      <c r="M159" s="24">
        <f t="shared" si="34"/>
        <v>96.25</v>
      </c>
      <c r="N159" s="24">
        <f t="shared" si="34"/>
        <v>96.25</v>
      </c>
      <c r="O159" s="24">
        <f t="shared" si="34"/>
        <v>96.25</v>
      </c>
      <c r="P159" s="24">
        <f t="shared" si="34"/>
        <v>96.25</v>
      </c>
    </row>
    <row r="160" spans="1:16" ht="12" customHeight="1" x14ac:dyDescent="0.25">
      <c r="A160" s="12" t="s">
        <v>11</v>
      </c>
      <c r="C160" s="14"/>
      <c r="D160" s="292" t="s">
        <v>22</v>
      </c>
      <c r="E160" s="24">
        <f t="shared" si="34"/>
        <v>43.75</v>
      </c>
      <c r="F160" s="24">
        <f t="shared" si="34"/>
        <v>43.75</v>
      </c>
      <c r="G160" s="24">
        <f t="shared" si="34"/>
        <v>43.75</v>
      </c>
      <c r="H160" s="24">
        <f t="shared" si="34"/>
        <v>43.75</v>
      </c>
      <c r="I160" s="24">
        <f t="shared" si="34"/>
        <v>43.75</v>
      </c>
      <c r="J160" s="24">
        <f t="shared" si="34"/>
        <v>43.75</v>
      </c>
      <c r="K160" s="24">
        <f t="shared" si="34"/>
        <v>43.75</v>
      </c>
      <c r="L160" s="24">
        <f t="shared" si="34"/>
        <v>43.75</v>
      </c>
      <c r="M160" s="24">
        <f t="shared" si="34"/>
        <v>43.75</v>
      </c>
      <c r="N160" s="24">
        <f t="shared" si="34"/>
        <v>43.75</v>
      </c>
      <c r="O160" s="24">
        <f t="shared" si="34"/>
        <v>43.75</v>
      </c>
      <c r="P160" s="24">
        <f t="shared" si="34"/>
        <v>43.75</v>
      </c>
    </row>
    <row r="161" spans="1:25" ht="12" customHeight="1" x14ac:dyDescent="0.25">
      <c r="A161" s="12" t="s">
        <v>7</v>
      </c>
      <c r="C161" s="18"/>
      <c r="D161" s="292" t="s">
        <v>22</v>
      </c>
      <c r="E161" s="24">
        <f t="shared" si="34"/>
        <v>140</v>
      </c>
      <c r="F161" s="24">
        <f t="shared" si="34"/>
        <v>140</v>
      </c>
      <c r="G161" s="24">
        <f t="shared" si="34"/>
        <v>140</v>
      </c>
      <c r="H161" s="24">
        <f t="shared" si="34"/>
        <v>140</v>
      </c>
      <c r="I161" s="24">
        <f t="shared" si="34"/>
        <v>140</v>
      </c>
      <c r="J161" s="24">
        <f t="shared" si="34"/>
        <v>140</v>
      </c>
      <c r="K161" s="24">
        <f t="shared" si="34"/>
        <v>140</v>
      </c>
      <c r="L161" s="24">
        <f t="shared" si="34"/>
        <v>140</v>
      </c>
      <c r="M161" s="24">
        <f t="shared" si="34"/>
        <v>140</v>
      </c>
      <c r="N161" s="24">
        <f t="shared" si="34"/>
        <v>140</v>
      </c>
      <c r="O161" s="24">
        <f t="shared" si="34"/>
        <v>140</v>
      </c>
      <c r="P161" s="24">
        <f t="shared" si="34"/>
        <v>140</v>
      </c>
    </row>
    <row r="162" spans="1:25" ht="12" customHeight="1" x14ac:dyDescent="0.25">
      <c r="A162" s="12" t="s">
        <v>8</v>
      </c>
      <c r="C162" s="14"/>
      <c r="D162" s="292" t="s">
        <v>22</v>
      </c>
      <c r="E162" s="24">
        <f t="shared" si="34"/>
        <v>43.75</v>
      </c>
      <c r="F162" s="24">
        <f t="shared" si="34"/>
        <v>43.75</v>
      </c>
      <c r="G162" s="24">
        <f t="shared" si="34"/>
        <v>43.75</v>
      </c>
      <c r="H162" s="24">
        <f t="shared" si="34"/>
        <v>43.75</v>
      </c>
      <c r="I162" s="24">
        <f t="shared" si="34"/>
        <v>43.75</v>
      </c>
      <c r="J162" s="24">
        <f t="shared" si="34"/>
        <v>43.75</v>
      </c>
      <c r="K162" s="24">
        <f t="shared" si="34"/>
        <v>43.75</v>
      </c>
      <c r="L162" s="24">
        <f t="shared" si="34"/>
        <v>43.75</v>
      </c>
      <c r="M162" s="24">
        <f t="shared" si="34"/>
        <v>43.75</v>
      </c>
      <c r="N162" s="24">
        <f t="shared" si="34"/>
        <v>43.75</v>
      </c>
      <c r="O162" s="24">
        <f t="shared" si="34"/>
        <v>43.75</v>
      </c>
      <c r="P162" s="24">
        <f t="shared" si="34"/>
        <v>43.75</v>
      </c>
    </row>
    <row r="163" spans="1:25" ht="12" customHeight="1" x14ac:dyDescent="0.25">
      <c r="A163" s="12" t="s">
        <v>9</v>
      </c>
      <c r="C163" s="14"/>
      <c r="D163" s="292" t="s">
        <v>22</v>
      </c>
      <c r="E163" s="24">
        <f t="shared" si="34"/>
        <v>227.5</v>
      </c>
      <c r="F163" s="24">
        <f t="shared" si="34"/>
        <v>227.5</v>
      </c>
      <c r="G163" s="24">
        <f t="shared" si="34"/>
        <v>227.5</v>
      </c>
      <c r="H163" s="24">
        <f t="shared" si="34"/>
        <v>227.5</v>
      </c>
      <c r="I163" s="24">
        <f t="shared" si="34"/>
        <v>227.5</v>
      </c>
      <c r="J163" s="24">
        <f t="shared" si="34"/>
        <v>227.5</v>
      </c>
      <c r="K163" s="24">
        <f t="shared" si="34"/>
        <v>227.5</v>
      </c>
      <c r="L163" s="24">
        <f t="shared" si="34"/>
        <v>227.5</v>
      </c>
      <c r="M163" s="24">
        <f t="shared" si="34"/>
        <v>227.5</v>
      </c>
      <c r="N163" s="24">
        <f t="shared" si="34"/>
        <v>227.5</v>
      </c>
      <c r="O163" s="24">
        <f t="shared" si="34"/>
        <v>227.5</v>
      </c>
      <c r="P163" s="24">
        <f t="shared" si="34"/>
        <v>227.5</v>
      </c>
    </row>
    <row r="164" spans="1:25" ht="12" customHeight="1" x14ac:dyDescent="0.25">
      <c r="A164" s="12" t="s">
        <v>10</v>
      </c>
      <c r="C164" s="14"/>
      <c r="D164" s="292" t="s">
        <v>22</v>
      </c>
      <c r="E164" s="24">
        <f t="shared" si="34"/>
        <v>8.75</v>
      </c>
      <c r="F164" s="24">
        <f t="shared" si="34"/>
        <v>8.75</v>
      </c>
      <c r="G164" s="24">
        <f t="shared" si="34"/>
        <v>8.75</v>
      </c>
      <c r="H164" s="24">
        <f t="shared" si="34"/>
        <v>8.75</v>
      </c>
      <c r="I164" s="24">
        <f t="shared" si="34"/>
        <v>8.75</v>
      </c>
      <c r="J164" s="24">
        <f t="shared" si="34"/>
        <v>8.75</v>
      </c>
      <c r="K164" s="24">
        <f t="shared" si="34"/>
        <v>8.75</v>
      </c>
      <c r="L164" s="24">
        <f t="shared" si="34"/>
        <v>8.75</v>
      </c>
      <c r="M164" s="24">
        <f t="shared" si="34"/>
        <v>8.75</v>
      </c>
      <c r="N164" s="24">
        <f t="shared" si="34"/>
        <v>8.75</v>
      </c>
      <c r="O164" s="24">
        <f t="shared" si="34"/>
        <v>8.75</v>
      </c>
      <c r="P164" s="24">
        <f t="shared" si="34"/>
        <v>8.75</v>
      </c>
    </row>
    <row r="165" spans="1:25" ht="12" customHeight="1" x14ac:dyDescent="0.25">
      <c r="A165" s="12"/>
      <c r="C165" s="14"/>
      <c r="D165" s="296"/>
      <c r="E165" s="24"/>
      <c r="F165" s="24"/>
      <c r="G165" s="24"/>
      <c r="H165" s="24"/>
      <c r="I165" s="24"/>
      <c r="J165" s="24"/>
      <c r="K165" s="24"/>
      <c r="L165" s="24"/>
      <c r="M165" s="24"/>
      <c r="N165" s="24"/>
      <c r="O165" s="24"/>
      <c r="P165" s="24"/>
    </row>
    <row r="166" spans="1:25" s="11" customFormat="1" ht="30" x14ac:dyDescent="0.25">
      <c r="A166" s="173" t="str">
        <f>A58</f>
        <v>Състав на образуваните отпадъци от юридически лица</v>
      </c>
      <c r="D166" s="290" t="s">
        <v>19</v>
      </c>
      <c r="E166" s="15">
        <f>SUM(E167:E179)</f>
        <v>1</v>
      </c>
      <c r="F166" s="15">
        <f t="shared" ref="F166:P166" si="35">SUM(F167:F179)</f>
        <v>1</v>
      </c>
      <c r="G166" s="15">
        <f t="shared" si="35"/>
        <v>1</v>
      </c>
      <c r="H166" s="15">
        <f t="shared" si="35"/>
        <v>1</v>
      </c>
      <c r="I166" s="15">
        <f t="shared" si="35"/>
        <v>1</v>
      </c>
      <c r="J166" s="15">
        <f t="shared" si="35"/>
        <v>1</v>
      </c>
      <c r="K166" s="15">
        <f t="shared" si="35"/>
        <v>1</v>
      </c>
      <c r="L166" s="15">
        <f t="shared" si="35"/>
        <v>1</v>
      </c>
      <c r="M166" s="15">
        <f t="shared" si="35"/>
        <v>1</v>
      </c>
      <c r="N166" s="15">
        <f t="shared" si="35"/>
        <v>1</v>
      </c>
      <c r="O166" s="15">
        <f t="shared" si="35"/>
        <v>1</v>
      </c>
      <c r="P166" s="15">
        <f t="shared" si="35"/>
        <v>1</v>
      </c>
    </row>
    <row r="167" spans="1:25" s="11" customFormat="1" x14ac:dyDescent="0.25">
      <c r="A167" s="12" t="s">
        <v>0</v>
      </c>
      <c r="D167" s="290" t="s">
        <v>19</v>
      </c>
      <c r="E167" s="15">
        <f>'Изходни данни'!C113</f>
        <v>0.21</v>
      </c>
      <c r="F167" s="15">
        <f>'Изходни данни'!D113</f>
        <v>0.21</v>
      </c>
      <c r="G167" s="15">
        <f>'Изходни данни'!E113</f>
        <v>0.21</v>
      </c>
      <c r="H167" s="15">
        <f>'Изходни данни'!F113</f>
        <v>0.21</v>
      </c>
      <c r="I167" s="15">
        <f>'Изходни данни'!G113</f>
        <v>0.21</v>
      </c>
      <c r="J167" s="15">
        <f>'Изходни данни'!H113</f>
        <v>0.21</v>
      </c>
      <c r="K167" s="15">
        <f>'Изходни данни'!I113</f>
        <v>0.21</v>
      </c>
      <c r="L167" s="15">
        <f>'Изходни данни'!J113</f>
        <v>0.21</v>
      </c>
      <c r="M167" s="15">
        <f>'Изходни данни'!K113</f>
        <v>0.21</v>
      </c>
      <c r="N167" s="15">
        <f>'Изходни данни'!L113</f>
        <v>0.21</v>
      </c>
      <c r="O167" s="15">
        <f>'Изходни данни'!M113</f>
        <v>0.21</v>
      </c>
      <c r="P167" s="15">
        <f>'Изходни данни'!N113</f>
        <v>0.21</v>
      </c>
      <c r="Q167" s="9"/>
      <c r="R167" s="9"/>
      <c r="S167" s="9"/>
      <c r="T167" s="9"/>
      <c r="U167" s="9"/>
      <c r="V167" s="9"/>
      <c r="W167" s="9"/>
      <c r="X167" s="9"/>
      <c r="Y167" s="9"/>
    </row>
    <row r="168" spans="1:25" s="11" customFormat="1" x14ac:dyDescent="0.25">
      <c r="A168" s="12" t="s">
        <v>1</v>
      </c>
      <c r="D168" s="290" t="s">
        <v>19</v>
      </c>
      <c r="E168" s="15">
        <f>'Изходни данни'!C114</f>
        <v>0.13</v>
      </c>
      <c r="F168" s="15">
        <f>'Изходни данни'!D114</f>
        <v>0.13</v>
      </c>
      <c r="G168" s="15">
        <f>'Изходни данни'!E114</f>
        <v>0.13</v>
      </c>
      <c r="H168" s="15">
        <f>'Изходни данни'!F114</f>
        <v>0.13</v>
      </c>
      <c r="I168" s="15">
        <f>'Изходни данни'!G114</f>
        <v>0.13</v>
      </c>
      <c r="J168" s="15">
        <f>'Изходни данни'!H114</f>
        <v>0.13</v>
      </c>
      <c r="K168" s="15">
        <f>'Изходни данни'!I114</f>
        <v>0.13</v>
      </c>
      <c r="L168" s="15">
        <f>'Изходни данни'!J114</f>
        <v>0.13</v>
      </c>
      <c r="M168" s="15">
        <f>'Изходни данни'!K114</f>
        <v>0.13</v>
      </c>
      <c r="N168" s="15">
        <f>'Изходни данни'!L114</f>
        <v>0.13</v>
      </c>
      <c r="O168" s="15">
        <f>'Изходни данни'!M114</f>
        <v>0.13</v>
      </c>
      <c r="P168" s="15">
        <f>'Изходни данни'!N114</f>
        <v>0.13</v>
      </c>
      <c r="Q168" s="9"/>
      <c r="R168" s="9"/>
      <c r="S168" s="9"/>
      <c r="T168" s="9"/>
      <c r="U168" s="9"/>
      <c r="V168" s="9"/>
      <c r="W168" s="9"/>
      <c r="X168" s="9"/>
      <c r="Y168" s="9"/>
    </row>
    <row r="169" spans="1:25" s="11" customFormat="1" x14ac:dyDescent="0.25">
      <c r="A169" s="12" t="s">
        <v>2</v>
      </c>
      <c r="D169" s="290" t="s">
        <v>19</v>
      </c>
      <c r="E169" s="15">
        <f>'Изходни данни'!C115</f>
        <v>0.14000000000000001</v>
      </c>
      <c r="F169" s="15">
        <f>'Изходни данни'!D115</f>
        <v>0.14000000000000001</v>
      </c>
      <c r="G169" s="15">
        <f>'Изходни данни'!E115</f>
        <v>0.14000000000000001</v>
      </c>
      <c r="H169" s="15">
        <f>'Изходни данни'!F115</f>
        <v>0.14000000000000001</v>
      </c>
      <c r="I169" s="15">
        <f>'Изходни данни'!G115</f>
        <v>0.14000000000000001</v>
      </c>
      <c r="J169" s="15">
        <f>'Изходни данни'!H115</f>
        <v>0.14000000000000001</v>
      </c>
      <c r="K169" s="15">
        <f>'Изходни данни'!I115</f>
        <v>0.14000000000000001</v>
      </c>
      <c r="L169" s="15">
        <f>'Изходни данни'!J115</f>
        <v>0.14000000000000001</v>
      </c>
      <c r="M169" s="15">
        <f>'Изходни данни'!K115</f>
        <v>0.14000000000000001</v>
      </c>
      <c r="N169" s="15">
        <f>'Изходни данни'!L115</f>
        <v>0.14000000000000001</v>
      </c>
      <c r="O169" s="15">
        <f>'Изходни данни'!M115</f>
        <v>0.14000000000000001</v>
      </c>
      <c r="P169" s="15">
        <f>'Изходни данни'!N115</f>
        <v>0.14000000000000001</v>
      </c>
      <c r="Q169" s="9"/>
      <c r="R169" s="9"/>
      <c r="S169" s="9"/>
      <c r="T169" s="9"/>
      <c r="U169" s="9"/>
      <c r="V169" s="9"/>
      <c r="W169" s="9"/>
      <c r="X169" s="9"/>
      <c r="Y169" s="9"/>
    </row>
    <row r="170" spans="1:25" s="11" customFormat="1" x14ac:dyDescent="0.25">
      <c r="A170" s="12" t="s">
        <v>3</v>
      </c>
      <c r="D170" s="290" t="s">
        <v>19</v>
      </c>
      <c r="E170" s="15">
        <f>'Изходни данни'!C116</f>
        <v>0.14000000000000001</v>
      </c>
      <c r="F170" s="15">
        <f>'Изходни данни'!D116</f>
        <v>0.14000000000000001</v>
      </c>
      <c r="G170" s="15">
        <f>'Изходни данни'!E116</f>
        <v>0.14000000000000001</v>
      </c>
      <c r="H170" s="15">
        <f>'Изходни данни'!F116</f>
        <v>0.14000000000000001</v>
      </c>
      <c r="I170" s="15">
        <f>'Изходни данни'!G116</f>
        <v>0.14000000000000001</v>
      </c>
      <c r="J170" s="15">
        <f>'Изходни данни'!H116</f>
        <v>0.14000000000000001</v>
      </c>
      <c r="K170" s="15">
        <f>'Изходни данни'!I116</f>
        <v>0.14000000000000001</v>
      </c>
      <c r="L170" s="15">
        <f>'Изходни данни'!J116</f>
        <v>0.14000000000000001</v>
      </c>
      <c r="M170" s="15">
        <f>'Изходни данни'!K116</f>
        <v>0.14000000000000001</v>
      </c>
      <c r="N170" s="15">
        <f>'Изходни данни'!L116</f>
        <v>0.14000000000000001</v>
      </c>
      <c r="O170" s="15">
        <f>'Изходни данни'!M116</f>
        <v>0.14000000000000001</v>
      </c>
      <c r="P170" s="15">
        <f>'Изходни данни'!N116</f>
        <v>0.14000000000000001</v>
      </c>
      <c r="Q170" s="9"/>
      <c r="R170" s="9"/>
      <c r="S170" s="9"/>
      <c r="T170" s="9"/>
      <c r="U170" s="9"/>
      <c r="V170" s="9"/>
      <c r="W170" s="9"/>
      <c r="X170" s="9"/>
      <c r="Y170" s="9"/>
    </row>
    <row r="171" spans="1:25" s="11" customFormat="1" x14ac:dyDescent="0.25">
      <c r="A171" s="12" t="s">
        <v>4</v>
      </c>
      <c r="D171" s="290" t="s">
        <v>19</v>
      </c>
      <c r="E171" s="15">
        <f>'Изходни данни'!C117</f>
        <v>0.04</v>
      </c>
      <c r="F171" s="15">
        <f>'Изходни данни'!D117</f>
        <v>0.04</v>
      </c>
      <c r="G171" s="15">
        <f>'Изходни данни'!E117</f>
        <v>0.04</v>
      </c>
      <c r="H171" s="15">
        <f>'Изходни данни'!F117</f>
        <v>0.04</v>
      </c>
      <c r="I171" s="15">
        <f>'Изходни данни'!G117</f>
        <v>0.04</v>
      </c>
      <c r="J171" s="15">
        <f>'Изходни данни'!H117</f>
        <v>0.04</v>
      </c>
      <c r="K171" s="15">
        <f>'Изходни данни'!I117</f>
        <v>0.04</v>
      </c>
      <c r="L171" s="15">
        <f>'Изходни данни'!J117</f>
        <v>0.04</v>
      </c>
      <c r="M171" s="15">
        <f>'Изходни данни'!K117</f>
        <v>0.04</v>
      </c>
      <c r="N171" s="15">
        <f>'Изходни данни'!L117</f>
        <v>0.04</v>
      </c>
      <c r="O171" s="15">
        <f>'Изходни данни'!M117</f>
        <v>0.04</v>
      </c>
      <c r="P171" s="15">
        <f>'Изходни данни'!N117</f>
        <v>0.04</v>
      </c>
      <c r="Q171" s="9"/>
      <c r="R171" s="9"/>
      <c r="S171" s="9"/>
      <c r="T171" s="9"/>
      <c r="U171" s="9"/>
      <c r="V171" s="9"/>
      <c r="W171" s="9"/>
      <c r="X171" s="9"/>
      <c r="Y171" s="9"/>
    </row>
    <row r="172" spans="1:25" s="11" customFormat="1" x14ac:dyDescent="0.25">
      <c r="A172" s="12" t="s">
        <v>5</v>
      </c>
      <c r="D172" s="290" t="s">
        <v>19</v>
      </c>
      <c r="E172" s="15">
        <f>'Изходни данни'!C118</f>
        <v>0.01</v>
      </c>
      <c r="F172" s="15">
        <f>'Изходни данни'!D118</f>
        <v>0.01</v>
      </c>
      <c r="G172" s="15">
        <f>'Изходни данни'!E118</f>
        <v>0.01</v>
      </c>
      <c r="H172" s="15">
        <f>'Изходни данни'!F118</f>
        <v>0.01</v>
      </c>
      <c r="I172" s="15">
        <f>'Изходни данни'!G118</f>
        <v>0.01</v>
      </c>
      <c r="J172" s="15">
        <f>'Изходни данни'!H118</f>
        <v>0.01</v>
      </c>
      <c r="K172" s="15">
        <f>'Изходни данни'!I118</f>
        <v>0.01</v>
      </c>
      <c r="L172" s="15">
        <f>'Изходни данни'!J118</f>
        <v>0.01</v>
      </c>
      <c r="M172" s="15">
        <f>'Изходни данни'!K118</f>
        <v>0.01</v>
      </c>
      <c r="N172" s="15">
        <f>'Изходни данни'!L118</f>
        <v>0.01</v>
      </c>
      <c r="O172" s="15">
        <f>'Изходни данни'!M118</f>
        <v>0.01</v>
      </c>
      <c r="P172" s="15">
        <f>'Изходни данни'!N118</f>
        <v>0.01</v>
      </c>
      <c r="Q172" s="9"/>
      <c r="R172" s="9"/>
      <c r="S172" s="9"/>
      <c r="T172" s="9"/>
      <c r="U172" s="9"/>
      <c r="V172" s="9"/>
      <c r="W172" s="9"/>
      <c r="X172" s="9"/>
      <c r="Y172" s="9"/>
    </row>
    <row r="173" spans="1:25" s="11" customFormat="1" x14ac:dyDescent="0.25">
      <c r="A173" s="12" t="s">
        <v>6</v>
      </c>
      <c r="D173" s="290" t="s">
        <v>19</v>
      </c>
      <c r="E173" s="15">
        <f>'Изходни данни'!C119</f>
        <v>0.01</v>
      </c>
      <c r="F173" s="15">
        <f>'Изходни данни'!D119</f>
        <v>0.01</v>
      </c>
      <c r="G173" s="15">
        <f>'Изходни данни'!E119</f>
        <v>0.01</v>
      </c>
      <c r="H173" s="15">
        <f>'Изходни данни'!F119</f>
        <v>0.01</v>
      </c>
      <c r="I173" s="15">
        <f>'Изходни данни'!G119</f>
        <v>0.01</v>
      </c>
      <c r="J173" s="15">
        <f>'Изходни данни'!H119</f>
        <v>0.01</v>
      </c>
      <c r="K173" s="15">
        <f>'Изходни данни'!I119</f>
        <v>0.01</v>
      </c>
      <c r="L173" s="15">
        <f>'Изходни данни'!J119</f>
        <v>0.01</v>
      </c>
      <c r="M173" s="15">
        <f>'Изходни данни'!K119</f>
        <v>0.01</v>
      </c>
      <c r="N173" s="15">
        <f>'Изходни данни'!L119</f>
        <v>0.01</v>
      </c>
      <c r="O173" s="15">
        <f>'Изходни данни'!M119</f>
        <v>0.01</v>
      </c>
      <c r="P173" s="15">
        <f>'Изходни данни'!N119</f>
        <v>0.01</v>
      </c>
      <c r="Q173" s="9"/>
      <c r="R173" s="9"/>
      <c r="S173" s="9"/>
      <c r="T173" s="9"/>
      <c r="U173" s="9"/>
      <c r="V173" s="9"/>
      <c r="W173" s="9"/>
      <c r="X173" s="9"/>
      <c r="Y173" s="9"/>
    </row>
    <row r="174" spans="1:25" s="11" customFormat="1" x14ac:dyDescent="0.25">
      <c r="A174" s="12" t="s">
        <v>12</v>
      </c>
      <c r="D174" s="290" t="s">
        <v>19</v>
      </c>
      <c r="E174" s="15">
        <f>'Изходни данни'!C120</f>
        <v>5.5E-2</v>
      </c>
      <c r="F174" s="15">
        <f>'Изходни данни'!D120</f>
        <v>5.5E-2</v>
      </c>
      <c r="G174" s="15">
        <f>'Изходни данни'!E120</f>
        <v>5.5E-2</v>
      </c>
      <c r="H174" s="15">
        <f>'Изходни данни'!F120</f>
        <v>5.5E-2</v>
      </c>
      <c r="I174" s="15">
        <f>'Изходни данни'!G120</f>
        <v>5.5E-2</v>
      </c>
      <c r="J174" s="15">
        <f>'Изходни данни'!H120</f>
        <v>5.5E-2</v>
      </c>
      <c r="K174" s="15">
        <f>'Изходни данни'!I120</f>
        <v>5.5E-2</v>
      </c>
      <c r="L174" s="15">
        <f>'Изходни данни'!J120</f>
        <v>5.5E-2</v>
      </c>
      <c r="M174" s="15">
        <f>'Изходни данни'!K120</f>
        <v>5.5E-2</v>
      </c>
      <c r="N174" s="15">
        <f>'Изходни данни'!L120</f>
        <v>5.5E-2</v>
      </c>
      <c r="O174" s="15">
        <f>'Изходни данни'!M120</f>
        <v>5.5E-2</v>
      </c>
      <c r="P174" s="15">
        <f>'Изходни данни'!N120</f>
        <v>5.5E-2</v>
      </c>
      <c r="Q174" s="9"/>
      <c r="R174" s="9"/>
      <c r="S174" s="9"/>
      <c r="T174" s="9"/>
      <c r="U174" s="9"/>
      <c r="V174" s="9"/>
      <c r="W174" s="9"/>
      <c r="X174" s="9"/>
      <c r="Y174" s="9"/>
    </row>
    <row r="175" spans="1:25" s="11" customFormat="1" x14ac:dyDescent="0.25">
      <c r="A175" s="12" t="s">
        <v>11</v>
      </c>
      <c r="D175" s="290" t="s">
        <v>19</v>
      </c>
      <c r="E175" s="15">
        <f>'Изходни данни'!C121</f>
        <v>2.5000000000000001E-2</v>
      </c>
      <c r="F175" s="15">
        <f>'Изходни данни'!D121</f>
        <v>2.5000000000000001E-2</v>
      </c>
      <c r="G175" s="15">
        <f>'Изходни данни'!E121</f>
        <v>2.5000000000000001E-2</v>
      </c>
      <c r="H175" s="15">
        <f>'Изходни данни'!F121</f>
        <v>2.5000000000000001E-2</v>
      </c>
      <c r="I175" s="15">
        <f>'Изходни данни'!G121</f>
        <v>2.5000000000000001E-2</v>
      </c>
      <c r="J175" s="15">
        <f>'Изходни данни'!H121</f>
        <v>2.5000000000000001E-2</v>
      </c>
      <c r="K175" s="15">
        <f>'Изходни данни'!I121</f>
        <v>2.5000000000000001E-2</v>
      </c>
      <c r="L175" s="15">
        <f>'Изходни данни'!J121</f>
        <v>2.5000000000000001E-2</v>
      </c>
      <c r="M175" s="15">
        <f>'Изходни данни'!K121</f>
        <v>2.5000000000000001E-2</v>
      </c>
      <c r="N175" s="15">
        <f>'Изходни данни'!L121</f>
        <v>2.5000000000000001E-2</v>
      </c>
      <c r="O175" s="15">
        <f>'Изходни данни'!M121</f>
        <v>2.5000000000000001E-2</v>
      </c>
      <c r="P175" s="15">
        <f>'Изходни данни'!N121</f>
        <v>2.5000000000000001E-2</v>
      </c>
      <c r="Q175" s="9"/>
      <c r="R175" s="9"/>
      <c r="S175" s="9"/>
      <c r="T175" s="9"/>
      <c r="U175" s="9"/>
      <c r="V175" s="9"/>
      <c r="W175" s="9"/>
      <c r="X175" s="9"/>
      <c r="Y175" s="9"/>
    </row>
    <row r="176" spans="1:25" s="11" customFormat="1" x14ac:dyDescent="0.25">
      <c r="A176" s="12" t="s">
        <v>7</v>
      </c>
      <c r="D176" s="290" t="s">
        <v>19</v>
      </c>
      <c r="E176" s="15">
        <f>'Изходни данни'!C122</f>
        <v>0.08</v>
      </c>
      <c r="F176" s="15">
        <f>'Изходни данни'!D122</f>
        <v>0.08</v>
      </c>
      <c r="G176" s="15">
        <f>'Изходни данни'!E122</f>
        <v>0.08</v>
      </c>
      <c r="H176" s="15">
        <f>'Изходни данни'!F122</f>
        <v>0.08</v>
      </c>
      <c r="I176" s="15">
        <f>'Изходни данни'!G122</f>
        <v>0.08</v>
      </c>
      <c r="J176" s="15">
        <f>'Изходни данни'!H122</f>
        <v>0.08</v>
      </c>
      <c r="K176" s="15">
        <f>'Изходни данни'!I122</f>
        <v>0.08</v>
      </c>
      <c r="L176" s="15">
        <f>'Изходни данни'!J122</f>
        <v>0.08</v>
      </c>
      <c r="M176" s="15">
        <f>'Изходни данни'!K122</f>
        <v>0.08</v>
      </c>
      <c r="N176" s="15">
        <f>'Изходни данни'!L122</f>
        <v>0.08</v>
      </c>
      <c r="O176" s="15">
        <f>'Изходни данни'!M122</f>
        <v>0.08</v>
      </c>
      <c r="P176" s="15">
        <f>'Изходни данни'!N122</f>
        <v>0.08</v>
      </c>
      <c r="Q176" s="9"/>
      <c r="R176" s="9"/>
      <c r="S176" s="9"/>
      <c r="T176" s="9"/>
      <c r="U176" s="9"/>
      <c r="V176" s="9"/>
      <c r="W176" s="9"/>
      <c r="X176" s="9"/>
      <c r="Y176" s="9"/>
    </row>
    <row r="177" spans="1:25" s="11" customFormat="1" x14ac:dyDescent="0.25">
      <c r="A177" s="12" t="s">
        <v>8</v>
      </c>
      <c r="D177" s="290" t="s">
        <v>19</v>
      </c>
      <c r="E177" s="15">
        <f>'Изходни данни'!C123</f>
        <v>2.5000000000000001E-2</v>
      </c>
      <c r="F177" s="15">
        <f>'Изходни данни'!D123</f>
        <v>2.5000000000000001E-2</v>
      </c>
      <c r="G177" s="15">
        <f>'Изходни данни'!E123</f>
        <v>2.5000000000000001E-2</v>
      </c>
      <c r="H177" s="15">
        <f>'Изходни данни'!F123</f>
        <v>2.5000000000000001E-2</v>
      </c>
      <c r="I177" s="15">
        <f>'Изходни данни'!G123</f>
        <v>2.5000000000000001E-2</v>
      </c>
      <c r="J177" s="15">
        <f>'Изходни данни'!H123</f>
        <v>2.5000000000000001E-2</v>
      </c>
      <c r="K177" s="15">
        <f>'Изходни данни'!I123</f>
        <v>2.5000000000000001E-2</v>
      </c>
      <c r="L177" s="15">
        <f>'Изходни данни'!J123</f>
        <v>2.5000000000000001E-2</v>
      </c>
      <c r="M177" s="15">
        <f>'Изходни данни'!K123</f>
        <v>2.5000000000000001E-2</v>
      </c>
      <c r="N177" s="15">
        <f>'Изходни данни'!L123</f>
        <v>2.5000000000000001E-2</v>
      </c>
      <c r="O177" s="15">
        <f>'Изходни данни'!M123</f>
        <v>2.5000000000000001E-2</v>
      </c>
      <c r="P177" s="15">
        <f>'Изходни данни'!N123</f>
        <v>2.5000000000000001E-2</v>
      </c>
      <c r="Q177" s="9"/>
      <c r="R177" s="9"/>
      <c r="S177" s="9"/>
      <c r="T177" s="9"/>
      <c r="U177" s="9"/>
      <c r="V177" s="9"/>
      <c r="W177" s="9"/>
      <c r="X177" s="9"/>
      <c r="Y177" s="9"/>
    </row>
    <row r="178" spans="1:25" s="11" customFormat="1" x14ac:dyDescent="0.25">
      <c r="A178" s="12" t="s">
        <v>9</v>
      </c>
      <c r="D178" s="290" t="s">
        <v>19</v>
      </c>
      <c r="E178" s="15">
        <f>'Изходни данни'!C124</f>
        <v>0.13</v>
      </c>
      <c r="F178" s="15">
        <f>'Изходни данни'!D124</f>
        <v>0.13</v>
      </c>
      <c r="G178" s="15">
        <f>'Изходни данни'!E124</f>
        <v>0.13</v>
      </c>
      <c r="H178" s="15">
        <f>'Изходни данни'!F124</f>
        <v>0.13</v>
      </c>
      <c r="I178" s="15">
        <f>'Изходни данни'!G124</f>
        <v>0.13</v>
      </c>
      <c r="J178" s="15">
        <f>'Изходни данни'!H124</f>
        <v>0.13</v>
      </c>
      <c r="K178" s="15">
        <f>'Изходни данни'!I124</f>
        <v>0.13</v>
      </c>
      <c r="L178" s="15">
        <f>'Изходни данни'!J124</f>
        <v>0.13</v>
      </c>
      <c r="M178" s="15">
        <f>'Изходни данни'!K124</f>
        <v>0.13</v>
      </c>
      <c r="N178" s="15">
        <f>'Изходни данни'!L124</f>
        <v>0.13</v>
      </c>
      <c r="O178" s="15">
        <f>'Изходни данни'!M124</f>
        <v>0.13</v>
      </c>
      <c r="P178" s="15">
        <f>'Изходни данни'!N124</f>
        <v>0.13</v>
      </c>
      <c r="Q178" s="9"/>
      <c r="R178" s="9"/>
      <c r="S178" s="9"/>
      <c r="T178" s="9"/>
      <c r="U178" s="9"/>
      <c r="V178" s="9"/>
      <c r="W178" s="9"/>
      <c r="X178" s="9"/>
      <c r="Y178" s="9"/>
    </row>
    <row r="179" spans="1:25" s="11" customFormat="1" x14ac:dyDescent="0.25">
      <c r="A179" s="12" t="s">
        <v>10</v>
      </c>
      <c r="D179" s="290" t="s">
        <v>19</v>
      </c>
      <c r="E179" s="15">
        <f>'Изходни данни'!C125</f>
        <v>5.0000000000000001E-3</v>
      </c>
      <c r="F179" s="15">
        <f>'Изходни данни'!D125</f>
        <v>5.0000000000000001E-3</v>
      </c>
      <c r="G179" s="15">
        <f>'Изходни данни'!E125</f>
        <v>5.0000000000000001E-3</v>
      </c>
      <c r="H179" s="15">
        <f>'Изходни данни'!F125</f>
        <v>5.0000000000000001E-3</v>
      </c>
      <c r="I179" s="15">
        <f>'Изходни данни'!G125</f>
        <v>5.0000000000000001E-3</v>
      </c>
      <c r="J179" s="15">
        <f>'Изходни данни'!H125</f>
        <v>5.0000000000000001E-3</v>
      </c>
      <c r="K179" s="15">
        <f>'Изходни данни'!I125</f>
        <v>5.0000000000000001E-3</v>
      </c>
      <c r="L179" s="15">
        <f>'Изходни данни'!J125</f>
        <v>5.0000000000000001E-3</v>
      </c>
      <c r="M179" s="15">
        <f>'Изходни данни'!K125</f>
        <v>5.0000000000000001E-3</v>
      </c>
      <c r="N179" s="15">
        <f>'Изходни данни'!L125</f>
        <v>5.0000000000000001E-3</v>
      </c>
      <c r="O179" s="15">
        <f>'Изходни данни'!M125</f>
        <v>5.0000000000000001E-3</v>
      </c>
      <c r="P179" s="15">
        <f>'Изходни данни'!N125</f>
        <v>5.0000000000000001E-3</v>
      </c>
      <c r="Q179" s="9"/>
      <c r="R179" s="9"/>
      <c r="S179" s="9"/>
      <c r="T179" s="9"/>
      <c r="U179" s="9"/>
      <c r="V179" s="9"/>
      <c r="W179" s="9"/>
      <c r="X179" s="9"/>
      <c r="Y179" s="9"/>
    </row>
    <row r="180" spans="1:25" s="11" customFormat="1" x14ac:dyDescent="0.25">
      <c r="A180" s="16"/>
      <c r="D180" s="294"/>
      <c r="E180" s="28"/>
      <c r="F180" s="28"/>
      <c r="G180" s="28"/>
      <c r="H180" s="28"/>
      <c r="I180" s="28"/>
      <c r="J180" s="28"/>
      <c r="K180" s="28"/>
      <c r="L180" s="28"/>
      <c r="M180" s="28"/>
      <c r="N180" s="28"/>
      <c r="O180" s="28"/>
      <c r="P180" s="28"/>
    </row>
    <row r="181" spans="1:25" s="11" customFormat="1" x14ac:dyDescent="0.25">
      <c r="A181" s="172" t="str">
        <f>A73</f>
        <v>Общо образувани отпадъци от домакинствата</v>
      </c>
      <c r="D181" s="305" t="s">
        <v>22</v>
      </c>
      <c r="E181" s="25">
        <f>'Изходни данни'!C92</f>
        <v>8750</v>
      </c>
      <c r="F181" s="25">
        <f>'Изходни данни'!D92</f>
        <v>8750</v>
      </c>
      <c r="G181" s="25">
        <f>'Изходни данни'!E92</f>
        <v>8750</v>
      </c>
      <c r="H181" s="25">
        <f>'Изходни данни'!F92</f>
        <v>8750</v>
      </c>
      <c r="I181" s="25">
        <f>'Изходни данни'!G92</f>
        <v>8750</v>
      </c>
      <c r="J181" s="25">
        <f>'Изходни данни'!H92</f>
        <v>8750</v>
      </c>
      <c r="K181" s="25">
        <f>'Изходни данни'!I92</f>
        <v>8750</v>
      </c>
      <c r="L181" s="25">
        <f>'Изходни данни'!J92</f>
        <v>8750</v>
      </c>
      <c r="M181" s="25">
        <f>'Изходни данни'!K92</f>
        <v>8750</v>
      </c>
      <c r="N181" s="25">
        <f>'Изходни данни'!L92</f>
        <v>8750</v>
      </c>
      <c r="O181" s="25">
        <f>'Изходни данни'!M92</f>
        <v>8750</v>
      </c>
      <c r="P181" s="25">
        <f>'Изходни данни'!N92</f>
        <v>8750</v>
      </c>
    </row>
    <row r="182" spans="1:25" s="11" customFormat="1" x14ac:dyDescent="0.25">
      <c r="A182" s="12" t="s">
        <v>0</v>
      </c>
      <c r="D182" s="292" t="s">
        <v>22</v>
      </c>
      <c r="E182" s="24">
        <f>E197*E$181</f>
        <v>1837.5</v>
      </c>
      <c r="F182" s="24">
        <f t="shared" ref="F182:P182" si="36">F197*F$181</f>
        <v>1837.5</v>
      </c>
      <c r="G182" s="24">
        <f t="shared" si="36"/>
        <v>1837.5</v>
      </c>
      <c r="H182" s="24">
        <f t="shared" si="36"/>
        <v>1837.5</v>
      </c>
      <c r="I182" s="24">
        <f t="shared" si="36"/>
        <v>1837.5</v>
      </c>
      <c r="J182" s="24">
        <f t="shared" si="36"/>
        <v>1837.5</v>
      </c>
      <c r="K182" s="24">
        <f t="shared" si="36"/>
        <v>1837.5</v>
      </c>
      <c r="L182" s="24">
        <f t="shared" si="36"/>
        <v>1837.5</v>
      </c>
      <c r="M182" s="24">
        <f t="shared" si="36"/>
        <v>1837.5</v>
      </c>
      <c r="N182" s="24">
        <f t="shared" si="36"/>
        <v>1837.5</v>
      </c>
      <c r="O182" s="24">
        <f t="shared" si="36"/>
        <v>1837.5</v>
      </c>
      <c r="P182" s="24">
        <f t="shared" si="36"/>
        <v>1837.5</v>
      </c>
    </row>
    <row r="183" spans="1:25" s="11" customFormat="1" x14ac:dyDescent="0.25">
      <c r="A183" s="12" t="s">
        <v>1</v>
      </c>
      <c r="D183" s="292" t="s">
        <v>22</v>
      </c>
      <c r="E183" s="24">
        <f t="shared" ref="E183:P194" si="37">E198*E$181</f>
        <v>1137.5</v>
      </c>
      <c r="F183" s="24">
        <f t="shared" si="37"/>
        <v>1137.5</v>
      </c>
      <c r="G183" s="24">
        <f t="shared" si="37"/>
        <v>1137.5</v>
      </c>
      <c r="H183" s="24">
        <f t="shared" si="37"/>
        <v>1137.5</v>
      </c>
      <c r="I183" s="24">
        <f t="shared" si="37"/>
        <v>1137.5</v>
      </c>
      <c r="J183" s="24">
        <f t="shared" si="37"/>
        <v>1137.5</v>
      </c>
      <c r="K183" s="24">
        <f t="shared" si="37"/>
        <v>1137.5</v>
      </c>
      <c r="L183" s="24">
        <f t="shared" si="37"/>
        <v>1137.5</v>
      </c>
      <c r="M183" s="24">
        <f t="shared" si="37"/>
        <v>1137.5</v>
      </c>
      <c r="N183" s="24">
        <f t="shared" si="37"/>
        <v>1137.5</v>
      </c>
      <c r="O183" s="24">
        <f t="shared" si="37"/>
        <v>1137.5</v>
      </c>
      <c r="P183" s="24">
        <f t="shared" si="37"/>
        <v>1137.5</v>
      </c>
    </row>
    <row r="184" spans="1:25" s="11" customFormat="1" x14ac:dyDescent="0.25">
      <c r="A184" s="12" t="s">
        <v>2</v>
      </c>
      <c r="D184" s="292" t="s">
        <v>22</v>
      </c>
      <c r="E184" s="24">
        <f t="shared" si="37"/>
        <v>1225.0000000000002</v>
      </c>
      <c r="F184" s="24">
        <f t="shared" si="37"/>
        <v>1225.0000000000002</v>
      </c>
      <c r="G184" s="24">
        <f t="shared" si="37"/>
        <v>1225.0000000000002</v>
      </c>
      <c r="H184" s="24">
        <f t="shared" si="37"/>
        <v>1225.0000000000002</v>
      </c>
      <c r="I184" s="24">
        <f t="shared" si="37"/>
        <v>1225.0000000000002</v>
      </c>
      <c r="J184" s="24">
        <f t="shared" si="37"/>
        <v>1225.0000000000002</v>
      </c>
      <c r="K184" s="24">
        <f t="shared" si="37"/>
        <v>1225.0000000000002</v>
      </c>
      <c r="L184" s="24">
        <f t="shared" si="37"/>
        <v>1225.0000000000002</v>
      </c>
      <c r="M184" s="24">
        <f t="shared" si="37"/>
        <v>1225.0000000000002</v>
      </c>
      <c r="N184" s="24">
        <f t="shared" si="37"/>
        <v>1225.0000000000002</v>
      </c>
      <c r="O184" s="24">
        <f t="shared" si="37"/>
        <v>1225.0000000000002</v>
      </c>
      <c r="P184" s="24">
        <f t="shared" si="37"/>
        <v>1225.0000000000002</v>
      </c>
    </row>
    <row r="185" spans="1:25" s="11" customFormat="1" x14ac:dyDescent="0.25">
      <c r="A185" s="12" t="s">
        <v>3</v>
      </c>
      <c r="D185" s="292" t="s">
        <v>22</v>
      </c>
      <c r="E185" s="24">
        <f t="shared" si="37"/>
        <v>1225.0000000000002</v>
      </c>
      <c r="F185" s="24">
        <f t="shared" si="37"/>
        <v>1225.0000000000002</v>
      </c>
      <c r="G185" s="24">
        <f t="shared" si="37"/>
        <v>1225.0000000000002</v>
      </c>
      <c r="H185" s="24">
        <f t="shared" si="37"/>
        <v>1225.0000000000002</v>
      </c>
      <c r="I185" s="24">
        <f t="shared" si="37"/>
        <v>1225.0000000000002</v>
      </c>
      <c r="J185" s="24">
        <f t="shared" si="37"/>
        <v>1225.0000000000002</v>
      </c>
      <c r="K185" s="24">
        <f t="shared" si="37"/>
        <v>1225.0000000000002</v>
      </c>
      <c r="L185" s="24">
        <f t="shared" si="37"/>
        <v>1225.0000000000002</v>
      </c>
      <c r="M185" s="24">
        <f t="shared" si="37"/>
        <v>1225.0000000000002</v>
      </c>
      <c r="N185" s="24">
        <f t="shared" si="37"/>
        <v>1225.0000000000002</v>
      </c>
      <c r="O185" s="24">
        <f t="shared" si="37"/>
        <v>1225.0000000000002</v>
      </c>
      <c r="P185" s="24">
        <f t="shared" si="37"/>
        <v>1225.0000000000002</v>
      </c>
    </row>
    <row r="186" spans="1:25" s="11" customFormat="1" x14ac:dyDescent="0.25">
      <c r="A186" s="12" t="s">
        <v>4</v>
      </c>
      <c r="D186" s="292" t="s">
        <v>22</v>
      </c>
      <c r="E186" s="24">
        <f t="shared" si="37"/>
        <v>350</v>
      </c>
      <c r="F186" s="24">
        <f t="shared" si="37"/>
        <v>350</v>
      </c>
      <c r="G186" s="24">
        <f t="shared" si="37"/>
        <v>350</v>
      </c>
      <c r="H186" s="24">
        <f t="shared" si="37"/>
        <v>350</v>
      </c>
      <c r="I186" s="24">
        <f t="shared" si="37"/>
        <v>350</v>
      </c>
      <c r="J186" s="24">
        <f t="shared" si="37"/>
        <v>350</v>
      </c>
      <c r="K186" s="24">
        <f t="shared" si="37"/>
        <v>350</v>
      </c>
      <c r="L186" s="24">
        <f t="shared" si="37"/>
        <v>350</v>
      </c>
      <c r="M186" s="24">
        <f t="shared" si="37"/>
        <v>350</v>
      </c>
      <c r="N186" s="24">
        <f t="shared" si="37"/>
        <v>350</v>
      </c>
      <c r="O186" s="24">
        <f t="shared" si="37"/>
        <v>350</v>
      </c>
      <c r="P186" s="24">
        <f t="shared" si="37"/>
        <v>350</v>
      </c>
    </row>
    <row r="187" spans="1:25" s="11" customFormat="1" x14ac:dyDescent="0.25">
      <c r="A187" s="12" t="s">
        <v>5</v>
      </c>
      <c r="D187" s="292" t="s">
        <v>22</v>
      </c>
      <c r="E187" s="24">
        <f t="shared" si="37"/>
        <v>87.5</v>
      </c>
      <c r="F187" s="24">
        <f t="shared" si="37"/>
        <v>87.5</v>
      </c>
      <c r="G187" s="24">
        <f t="shared" si="37"/>
        <v>87.5</v>
      </c>
      <c r="H187" s="24">
        <f t="shared" si="37"/>
        <v>87.5</v>
      </c>
      <c r="I187" s="24">
        <f t="shared" si="37"/>
        <v>87.5</v>
      </c>
      <c r="J187" s="24">
        <f t="shared" si="37"/>
        <v>87.5</v>
      </c>
      <c r="K187" s="24">
        <f t="shared" si="37"/>
        <v>87.5</v>
      </c>
      <c r="L187" s="24">
        <f t="shared" si="37"/>
        <v>87.5</v>
      </c>
      <c r="M187" s="24">
        <f t="shared" si="37"/>
        <v>87.5</v>
      </c>
      <c r="N187" s="24">
        <f t="shared" si="37"/>
        <v>87.5</v>
      </c>
      <c r="O187" s="24">
        <f t="shared" si="37"/>
        <v>87.5</v>
      </c>
      <c r="P187" s="24">
        <f t="shared" si="37"/>
        <v>87.5</v>
      </c>
    </row>
    <row r="188" spans="1:25" s="11" customFormat="1" x14ac:dyDescent="0.25">
      <c r="A188" s="12" t="s">
        <v>6</v>
      </c>
      <c r="D188" s="292" t="s">
        <v>22</v>
      </c>
      <c r="E188" s="24">
        <f t="shared" si="37"/>
        <v>87.5</v>
      </c>
      <c r="F188" s="24">
        <f t="shared" si="37"/>
        <v>87.5</v>
      </c>
      <c r="G188" s="24">
        <f t="shared" si="37"/>
        <v>87.5</v>
      </c>
      <c r="H188" s="24">
        <f t="shared" si="37"/>
        <v>87.5</v>
      </c>
      <c r="I188" s="24">
        <f t="shared" si="37"/>
        <v>87.5</v>
      </c>
      <c r="J188" s="24">
        <f t="shared" si="37"/>
        <v>87.5</v>
      </c>
      <c r="K188" s="24">
        <f t="shared" si="37"/>
        <v>87.5</v>
      </c>
      <c r="L188" s="24">
        <f t="shared" si="37"/>
        <v>87.5</v>
      </c>
      <c r="M188" s="24">
        <f t="shared" si="37"/>
        <v>87.5</v>
      </c>
      <c r="N188" s="24">
        <f t="shared" si="37"/>
        <v>87.5</v>
      </c>
      <c r="O188" s="24">
        <f t="shared" si="37"/>
        <v>87.5</v>
      </c>
      <c r="P188" s="24">
        <f t="shared" si="37"/>
        <v>87.5</v>
      </c>
    </row>
    <row r="189" spans="1:25" s="11" customFormat="1" x14ac:dyDescent="0.25">
      <c r="A189" s="12" t="s">
        <v>12</v>
      </c>
      <c r="D189" s="292" t="s">
        <v>22</v>
      </c>
      <c r="E189" s="24">
        <f t="shared" si="37"/>
        <v>481.25</v>
      </c>
      <c r="F189" s="24">
        <f t="shared" si="37"/>
        <v>481.25</v>
      </c>
      <c r="G189" s="24">
        <f t="shared" si="37"/>
        <v>481.25</v>
      </c>
      <c r="H189" s="24">
        <f t="shared" si="37"/>
        <v>481.25</v>
      </c>
      <c r="I189" s="24">
        <f t="shared" si="37"/>
        <v>481.25</v>
      </c>
      <c r="J189" s="24">
        <f t="shared" si="37"/>
        <v>481.25</v>
      </c>
      <c r="K189" s="24">
        <f t="shared" si="37"/>
        <v>481.25</v>
      </c>
      <c r="L189" s="24">
        <f t="shared" si="37"/>
        <v>481.25</v>
      </c>
      <c r="M189" s="24">
        <f t="shared" si="37"/>
        <v>481.25</v>
      </c>
      <c r="N189" s="24">
        <f t="shared" si="37"/>
        <v>481.25</v>
      </c>
      <c r="O189" s="24">
        <f t="shared" si="37"/>
        <v>481.25</v>
      </c>
      <c r="P189" s="24">
        <f t="shared" si="37"/>
        <v>481.25</v>
      </c>
    </row>
    <row r="190" spans="1:25" s="11" customFormat="1" x14ac:dyDescent="0.25">
      <c r="A190" s="12" t="s">
        <v>11</v>
      </c>
      <c r="D190" s="292" t="s">
        <v>22</v>
      </c>
      <c r="E190" s="24">
        <f t="shared" si="37"/>
        <v>218.75</v>
      </c>
      <c r="F190" s="24">
        <f t="shared" si="37"/>
        <v>218.75</v>
      </c>
      <c r="G190" s="24">
        <f t="shared" si="37"/>
        <v>218.75</v>
      </c>
      <c r="H190" s="24">
        <f t="shared" si="37"/>
        <v>218.75</v>
      </c>
      <c r="I190" s="24">
        <f t="shared" si="37"/>
        <v>218.75</v>
      </c>
      <c r="J190" s="24">
        <f t="shared" si="37"/>
        <v>218.75</v>
      </c>
      <c r="K190" s="24">
        <f t="shared" si="37"/>
        <v>218.75</v>
      </c>
      <c r="L190" s="24">
        <f t="shared" si="37"/>
        <v>218.75</v>
      </c>
      <c r="M190" s="24">
        <f t="shared" si="37"/>
        <v>218.75</v>
      </c>
      <c r="N190" s="24">
        <f t="shared" si="37"/>
        <v>218.75</v>
      </c>
      <c r="O190" s="24">
        <f t="shared" si="37"/>
        <v>218.75</v>
      </c>
      <c r="P190" s="24">
        <f t="shared" si="37"/>
        <v>218.75</v>
      </c>
    </row>
    <row r="191" spans="1:25" s="11" customFormat="1" x14ac:dyDescent="0.25">
      <c r="A191" s="12" t="s">
        <v>7</v>
      </c>
      <c r="D191" s="292" t="s">
        <v>22</v>
      </c>
      <c r="E191" s="24">
        <f t="shared" si="37"/>
        <v>700</v>
      </c>
      <c r="F191" s="24">
        <f t="shared" si="37"/>
        <v>700</v>
      </c>
      <c r="G191" s="24">
        <f t="shared" si="37"/>
        <v>700</v>
      </c>
      <c r="H191" s="24">
        <f t="shared" si="37"/>
        <v>700</v>
      </c>
      <c r="I191" s="24">
        <f t="shared" si="37"/>
        <v>700</v>
      </c>
      <c r="J191" s="24">
        <f t="shared" si="37"/>
        <v>700</v>
      </c>
      <c r="K191" s="24">
        <f t="shared" si="37"/>
        <v>700</v>
      </c>
      <c r="L191" s="24">
        <f t="shared" si="37"/>
        <v>700</v>
      </c>
      <c r="M191" s="24">
        <f t="shared" si="37"/>
        <v>700</v>
      </c>
      <c r="N191" s="24">
        <f t="shared" si="37"/>
        <v>700</v>
      </c>
      <c r="O191" s="24">
        <f t="shared" si="37"/>
        <v>700</v>
      </c>
      <c r="P191" s="24">
        <f t="shared" si="37"/>
        <v>700</v>
      </c>
    </row>
    <row r="192" spans="1:25" s="11" customFormat="1" x14ac:dyDescent="0.25">
      <c r="A192" s="12" t="s">
        <v>8</v>
      </c>
      <c r="D192" s="292" t="s">
        <v>22</v>
      </c>
      <c r="E192" s="24">
        <f t="shared" si="37"/>
        <v>218.75</v>
      </c>
      <c r="F192" s="24">
        <f t="shared" si="37"/>
        <v>218.75</v>
      </c>
      <c r="G192" s="24">
        <f t="shared" si="37"/>
        <v>218.75</v>
      </c>
      <c r="H192" s="24">
        <f t="shared" si="37"/>
        <v>218.75</v>
      </c>
      <c r="I192" s="24">
        <f t="shared" si="37"/>
        <v>218.75</v>
      </c>
      <c r="J192" s="24">
        <f t="shared" si="37"/>
        <v>218.75</v>
      </c>
      <c r="K192" s="24">
        <f t="shared" si="37"/>
        <v>218.75</v>
      </c>
      <c r="L192" s="24">
        <f t="shared" si="37"/>
        <v>218.75</v>
      </c>
      <c r="M192" s="24">
        <f t="shared" si="37"/>
        <v>218.75</v>
      </c>
      <c r="N192" s="24">
        <f t="shared" si="37"/>
        <v>218.75</v>
      </c>
      <c r="O192" s="24">
        <f t="shared" si="37"/>
        <v>218.75</v>
      </c>
      <c r="P192" s="24">
        <f t="shared" si="37"/>
        <v>218.75</v>
      </c>
    </row>
    <row r="193" spans="1:25" s="11" customFormat="1" x14ac:dyDescent="0.25">
      <c r="A193" s="12" t="s">
        <v>9</v>
      </c>
      <c r="D193" s="292" t="s">
        <v>22</v>
      </c>
      <c r="E193" s="24">
        <f t="shared" si="37"/>
        <v>1137.5</v>
      </c>
      <c r="F193" s="24">
        <f t="shared" si="37"/>
        <v>1137.5</v>
      </c>
      <c r="G193" s="24">
        <f t="shared" si="37"/>
        <v>1137.5</v>
      </c>
      <c r="H193" s="24">
        <f t="shared" si="37"/>
        <v>1137.5</v>
      </c>
      <c r="I193" s="24">
        <f t="shared" si="37"/>
        <v>1137.5</v>
      </c>
      <c r="J193" s="24">
        <f t="shared" si="37"/>
        <v>1137.5</v>
      </c>
      <c r="K193" s="24">
        <f t="shared" si="37"/>
        <v>1137.5</v>
      </c>
      <c r="L193" s="24">
        <f t="shared" si="37"/>
        <v>1137.5</v>
      </c>
      <c r="M193" s="24">
        <f t="shared" si="37"/>
        <v>1137.5</v>
      </c>
      <c r="N193" s="24">
        <f t="shared" si="37"/>
        <v>1137.5</v>
      </c>
      <c r="O193" s="24">
        <f t="shared" si="37"/>
        <v>1137.5</v>
      </c>
      <c r="P193" s="24">
        <f t="shared" si="37"/>
        <v>1137.5</v>
      </c>
    </row>
    <row r="194" spans="1:25" s="11" customFormat="1" x14ac:dyDescent="0.25">
      <c r="A194" s="12" t="s">
        <v>10</v>
      </c>
      <c r="D194" s="292" t="s">
        <v>22</v>
      </c>
      <c r="E194" s="24">
        <f t="shared" si="37"/>
        <v>43.75</v>
      </c>
      <c r="F194" s="24">
        <f t="shared" si="37"/>
        <v>43.75</v>
      </c>
      <c r="G194" s="24">
        <f t="shared" si="37"/>
        <v>43.75</v>
      </c>
      <c r="H194" s="24">
        <f t="shared" si="37"/>
        <v>43.75</v>
      </c>
      <c r="I194" s="24">
        <f t="shared" si="37"/>
        <v>43.75</v>
      </c>
      <c r="J194" s="24">
        <f t="shared" si="37"/>
        <v>43.75</v>
      </c>
      <c r="K194" s="24">
        <f t="shared" si="37"/>
        <v>43.75</v>
      </c>
      <c r="L194" s="24">
        <f t="shared" si="37"/>
        <v>43.75</v>
      </c>
      <c r="M194" s="24">
        <f t="shared" si="37"/>
        <v>43.75</v>
      </c>
      <c r="N194" s="24">
        <f t="shared" si="37"/>
        <v>43.75</v>
      </c>
      <c r="O194" s="24">
        <f t="shared" si="37"/>
        <v>43.75</v>
      </c>
      <c r="P194" s="24">
        <f t="shared" si="37"/>
        <v>43.75</v>
      </c>
    </row>
    <row r="195" spans="1:25" s="11" customFormat="1" x14ac:dyDescent="0.25">
      <c r="A195" s="12"/>
      <c r="D195" s="292"/>
      <c r="E195" s="24"/>
      <c r="F195" s="24"/>
      <c r="G195" s="24"/>
      <c r="H195" s="24"/>
      <c r="I195" s="24"/>
      <c r="J195" s="24"/>
      <c r="K195" s="24"/>
      <c r="L195" s="24"/>
      <c r="M195" s="24"/>
      <c r="N195" s="24"/>
      <c r="O195" s="24"/>
      <c r="P195" s="24"/>
    </row>
    <row r="196" spans="1:25" s="11" customFormat="1" x14ac:dyDescent="0.25">
      <c r="A196" s="173" t="str">
        <f>A88</f>
        <v>Състав на образуваните отпадъци от домакинствата</v>
      </c>
      <c r="D196" s="290" t="s">
        <v>19</v>
      </c>
      <c r="E196" s="15">
        <f>SUM(E197:E209)</f>
        <v>1</v>
      </c>
      <c r="F196" s="15">
        <f t="shared" ref="F196:P196" si="38">SUM(F197:F209)</f>
        <v>1</v>
      </c>
      <c r="G196" s="15">
        <f t="shared" si="38"/>
        <v>1</v>
      </c>
      <c r="H196" s="15">
        <f t="shared" si="38"/>
        <v>1</v>
      </c>
      <c r="I196" s="15">
        <f t="shared" si="38"/>
        <v>1</v>
      </c>
      <c r="J196" s="15">
        <f t="shared" si="38"/>
        <v>1</v>
      </c>
      <c r="K196" s="15">
        <f t="shared" si="38"/>
        <v>1</v>
      </c>
      <c r="L196" s="15">
        <f t="shared" si="38"/>
        <v>1</v>
      </c>
      <c r="M196" s="15">
        <f t="shared" si="38"/>
        <v>1</v>
      </c>
      <c r="N196" s="15">
        <f t="shared" si="38"/>
        <v>1</v>
      </c>
      <c r="O196" s="15">
        <f t="shared" si="38"/>
        <v>1</v>
      </c>
      <c r="P196" s="15">
        <f t="shared" si="38"/>
        <v>1</v>
      </c>
    </row>
    <row r="197" spans="1:25" s="11" customFormat="1" x14ac:dyDescent="0.25">
      <c r="A197" s="12" t="s">
        <v>0</v>
      </c>
      <c r="D197" s="290" t="s">
        <v>19</v>
      </c>
      <c r="E197" s="15">
        <f>'Изходни данни'!C95</f>
        <v>0.21</v>
      </c>
      <c r="F197" s="15">
        <f>'Изходни данни'!D95</f>
        <v>0.21</v>
      </c>
      <c r="G197" s="15">
        <f>'Изходни данни'!E95</f>
        <v>0.21</v>
      </c>
      <c r="H197" s="15">
        <f>'Изходни данни'!F95</f>
        <v>0.21</v>
      </c>
      <c r="I197" s="15">
        <f>'Изходни данни'!G95</f>
        <v>0.21</v>
      </c>
      <c r="J197" s="15">
        <f>'Изходни данни'!H95</f>
        <v>0.21</v>
      </c>
      <c r="K197" s="15">
        <f>'Изходни данни'!I95</f>
        <v>0.21</v>
      </c>
      <c r="L197" s="15">
        <f>'Изходни данни'!J95</f>
        <v>0.21</v>
      </c>
      <c r="M197" s="15">
        <f>'Изходни данни'!K95</f>
        <v>0.21</v>
      </c>
      <c r="N197" s="15">
        <f>'Изходни данни'!L95</f>
        <v>0.21</v>
      </c>
      <c r="O197" s="15">
        <f>'Изходни данни'!M95</f>
        <v>0.21</v>
      </c>
      <c r="P197" s="15">
        <f>'Изходни данни'!N95</f>
        <v>0.21</v>
      </c>
      <c r="Q197" s="9"/>
      <c r="R197" s="9"/>
      <c r="S197" s="9"/>
      <c r="T197" s="9"/>
      <c r="U197" s="9"/>
      <c r="V197" s="9"/>
      <c r="W197" s="9"/>
      <c r="X197" s="9"/>
      <c r="Y197" s="9"/>
    </row>
    <row r="198" spans="1:25" s="11" customFormat="1" x14ac:dyDescent="0.25">
      <c r="A198" s="12" t="s">
        <v>1</v>
      </c>
      <c r="D198" s="290" t="s">
        <v>19</v>
      </c>
      <c r="E198" s="15">
        <f>'Изходни данни'!C96</f>
        <v>0.13</v>
      </c>
      <c r="F198" s="15">
        <f>'Изходни данни'!D96</f>
        <v>0.13</v>
      </c>
      <c r="G198" s="15">
        <f>'Изходни данни'!E96</f>
        <v>0.13</v>
      </c>
      <c r="H198" s="15">
        <f>'Изходни данни'!F96</f>
        <v>0.13</v>
      </c>
      <c r="I198" s="15">
        <f>'Изходни данни'!G96</f>
        <v>0.13</v>
      </c>
      <c r="J198" s="15">
        <f>'Изходни данни'!H96</f>
        <v>0.13</v>
      </c>
      <c r="K198" s="15">
        <f>'Изходни данни'!I96</f>
        <v>0.13</v>
      </c>
      <c r="L198" s="15">
        <f>'Изходни данни'!J96</f>
        <v>0.13</v>
      </c>
      <c r="M198" s="15">
        <f>'Изходни данни'!K96</f>
        <v>0.13</v>
      </c>
      <c r="N198" s="15">
        <f>'Изходни данни'!L96</f>
        <v>0.13</v>
      </c>
      <c r="O198" s="15">
        <f>'Изходни данни'!M96</f>
        <v>0.13</v>
      </c>
      <c r="P198" s="15">
        <f>'Изходни данни'!N96</f>
        <v>0.13</v>
      </c>
      <c r="Q198" s="9"/>
      <c r="R198" s="9"/>
      <c r="S198" s="9"/>
      <c r="T198" s="9"/>
      <c r="U198" s="9"/>
      <c r="V198" s="9"/>
      <c r="W198" s="9"/>
      <c r="X198" s="9"/>
      <c r="Y198" s="9"/>
    </row>
    <row r="199" spans="1:25" s="11" customFormat="1" x14ac:dyDescent="0.25">
      <c r="A199" s="12" t="s">
        <v>2</v>
      </c>
      <c r="D199" s="290" t="s">
        <v>19</v>
      </c>
      <c r="E199" s="15">
        <f>'Изходни данни'!C97</f>
        <v>0.14000000000000001</v>
      </c>
      <c r="F199" s="15">
        <f>'Изходни данни'!D97</f>
        <v>0.14000000000000001</v>
      </c>
      <c r="G199" s="15">
        <f>'Изходни данни'!E97</f>
        <v>0.14000000000000001</v>
      </c>
      <c r="H199" s="15">
        <f>'Изходни данни'!F97</f>
        <v>0.14000000000000001</v>
      </c>
      <c r="I199" s="15">
        <f>'Изходни данни'!G97</f>
        <v>0.14000000000000001</v>
      </c>
      <c r="J199" s="15">
        <f>'Изходни данни'!H97</f>
        <v>0.14000000000000001</v>
      </c>
      <c r="K199" s="15">
        <f>'Изходни данни'!I97</f>
        <v>0.14000000000000001</v>
      </c>
      <c r="L199" s="15">
        <f>'Изходни данни'!J97</f>
        <v>0.14000000000000001</v>
      </c>
      <c r="M199" s="15">
        <f>'Изходни данни'!K97</f>
        <v>0.14000000000000001</v>
      </c>
      <c r="N199" s="15">
        <f>'Изходни данни'!L97</f>
        <v>0.14000000000000001</v>
      </c>
      <c r="O199" s="15">
        <f>'Изходни данни'!M97</f>
        <v>0.14000000000000001</v>
      </c>
      <c r="P199" s="15">
        <f>'Изходни данни'!N97</f>
        <v>0.14000000000000001</v>
      </c>
      <c r="Q199" s="9"/>
      <c r="R199" s="9"/>
      <c r="S199" s="9"/>
      <c r="T199" s="9"/>
      <c r="U199" s="9"/>
      <c r="V199" s="9"/>
      <c r="W199" s="9"/>
      <c r="X199" s="9"/>
      <c r="Y199" s="9"/>
    </row>
    <row r="200" spans="1:25" s="11" customFormat="1" x14ac:dyDescent="0.25">
      <c r="A200" s="12" t="s">
        <v>3</v>
      </c>
      <c r="D200" s="290" t="s">
        <v>19</v>
      </c>
      <c r="E200" s="15">
        <f>'Изходни данни'!C98</f>
        <v>0.14000000000000001</v>
      </c>
      <c r="F200" s="15">
        <f>'Изходни данни'!D98</f>
        <v>0.14000000000000001</v>
      </c>
      <c r="G200" s="15">
        <f>'Изходни данни'!E98</f>
        <v>0.14000000000000001</v>
      </c>
      <c r="H200" s="15">
        <f>'Изходни данни'!F98</f>
        <v>0.14000000000000001</v>
      </c>
      <c r="I200" s="15">
        <f>'Изходни данни'!G98</f>
        <v>0.14000000000000001</v>
      </c>
      <c r="J200" s="15">
        <f>'Изходни данни'!H98</f>
        <v>0.14000000000000001</v>
      </c>
      <c r="K200" s="15">
        <f>'Изходни данни'!I98</f>
        <v>0.14000000000000001</v>
      </c>
      <c r="L200" s="15">
        <f>'Изходни данни'!J98</f>
        <v>0.14000000000000001</v>
      </c>
      <c r="M200" s="15">
        <f>'Изходни данни'!K98</f>
        <v>0.14000000000000001</v>
      </c>
      <c r="N200" s="15">
        <f>'Изходни данни'!L98</f>
        <v>0.14000000000000001</v>
      </c>
      <c r="O200" s="15">
        <f>'Изходни данни'!M98</f>
        <v>0.14000000000000001</v>
      </c>
      <c r="P200" s="15">
        <f>'Изходни данни'!N98</f>
        <v>0.14000000000000001</v>
      </c>
      <c r="Q200" s="9"/>
      <c r="R200" s="9"/>
      <c r="S200" s="9"/>
      <c r="T200" s="9"/>
      <c r="U200" s="9"/>
      <c r="V200" s="9"/>
      <c r="W200" s="9"/>
      <c r="X200" s="9"/>
      <c r="Y200" s="9"/>
    </row>
    <row r="201" spans="1:25" s="11" customFormat="1" x14ac:dyDescent="0.25">
      <c r="A201" s="12" t="s">
        <v>4</v>
      </c>
      <c r="D201" s="290" t="s">
        <v>19</v>
      </c>
      <c r="E201" s="15">
        <f>'Изходни данни'!C99</f>
        <v>0.04</v>
      </c>
      <c r="F201" s="15">
        <f>'Изходни данни'!D99</f>
        <v>0.04</v>
      </c>
      <c r="G201" s="15">
        <f>'Изходни данни'!E99</f>
        <v>0.04</v>
      </c>
      <c r="H201" s="15">
        <f>'Изходни данни'!F99</f>
        <v>0.04</v>
      </c>
      <c r="I201" s="15">
        <f>'Изходни данни'!G99</f>
        <v>0.04</v>
      </c>
      <c r="J201" s="15">
        <f>'Изходни данни'!H99</f>
        <v>0.04</v>
      </c>
      <c r="K201" s="15">
        <f>'Изходни данни'!I99</f>
        <v>0.04</v>
      </c>
      <c r="L201" s="15">
        <f>'Изходни данни'!J99</f>
        <v>0.04</v>
      </c>
      <c r="M201" s="15">
        <f>'Изходни данни'!K99</f>
        <v>0.04</v>
      </c>
      <c r="N201" s="15">
        <f>'Изходни данни'!L99</f>
        <v>0.04</v>
      </c>
      <c r="O201" s="15">
        <f>'Изходни данни'!M99</f>
        <v>0.04</v>
      </c>
      <c r="P201" s="15">
        <f>'Изходни данни'!N99</f>
        <v>0.04</v>
      </c>
      <c r="Q201" s="9"/>
      <c r="R201" s="9"/>
      <c r="S201" s="9"/>
      <c r="T201" s="9"/>
      <c r="U201" s="9"/>
      <c r="V201" s="9"/>
      <c r="W201" s="9"/>
      <c r="X201" s="9"/>
      <c r="Y201" s="9"/>
    </row>
    <row r="202" spans="1:25" s="11" customFormat="1" x14ac:dyDescent="0.25">
      <c r="A202" s="12" t="s">
        <v>5</v>
      </c>
      <c r="D202" s="290" t="s">
        <v>19</v>
      </c>
      <c r="E202" s="15">
        <f>'Изходни данни'!C100</f>
        <v>0.01</v>
      </c>
      <c r="F202" s="15">
        <f>'Изходни данни'!D100</f>
        <v>0.01</v>
      </c>
      <c r="G202" s="15">
        <f>'Изходни данни'!E100</f>
        <v>0.01</v>
      </c>
      <c r="H202" s="15">
        <f>'Изходни данни'!F100</f>
        <v>0.01</v>
      </c>
      <c r="I202" s="15">
        <f>'Изходни данни'!G100</f>
        <v>0.01</v>
      </c>
      <c r="J202" s="15">
        <f>'Изходни данни'!H100</f>
        <v>0.01</v>
      </c>
      <c r="K202" s="15">
        <f>'Изходни данни'!I100</f>
        <v>0.01</v>
      </c>
      <c r="L202" s="15">
        <f>'Изходни данни'!J100</f>
        <v>0.01</v>
      </c>
      <c r="M202" s="15">
        <f>'Изходни данни'!K100</f>
        <v>0.01</v>
      </c>
      <c r="N202" s="15">
        <f>'Изходни данни'!L100</f>
        <v>0.01</v>
      </c>
      <c r="O202" s="15">
        <f>'Изходни данни'!M100</f>
        <v>0.01</v>
      </c>
      <c r="P202" s="15">
        <f>'Изходни данни'!N100</f>
        <v>0.01</v>
      </c>
      <c r="Q202" s="9"/>
      <c r="R202" s="9"/>
      <c r="S202" s="9"/>
      <c r="T202" s="9"/>
      <c r="U202" s="9"/>
      <c r="V202" s="9"/>
      <c r="W202" s="9"/>
      <c r="X202" s="9"/>
      <c r="Y202" s="9"/>
    </row>
    <row r="203" spans="1:25" s="11" customFormat="1" x14ac:dyDescent="0.25">
      <c r="A203" s="12" t="s">
        <v>6</v>
      </c>
      <c r="D203" s="290" t="s">
        <v>19</v>
      </c>
      <c r="E203" s="15">
        <f>'Изходни данни'!C101</f>
        <v>0.01</v>
      </c>
      <c r="F203" s="15">
        <f>'Изходни данни'!D101</f>
        <v>0.01</v>
      </c>
      <c r="G203" s="15">
        <f>'Изходни данни'!E101</f>
        <v>0.01</v>
      </c>
      <c r="H203" s="15">
        <f>'Изходни данни'!F101</f>
        <v>0.01</v>
      </c>
      <c r="I203" s="15">
        <f>'Изходни данни'!G101</f>
        <v>0.01</v>
      </c>
      <c r="J203" s="15">
        <f>'Изходни данни'!H101</f>
        <v>0.01</v>
      </c>
      <c r="K203" s="15">
        <f>'Изходни данни'!I101</f>
        <v>0.01</v>
      </c>
      <c r="L203" s="15">
        <f>'Изходни данни'!J101</f>
        <v>0.01</v>
      </c>
      <c r="M203" s="15">
        <f>'Изходни данни'!K101</f>
        <v>0.01</v>
      </c>
      <c r="N203" s="15">
        <f>'Изходни данни'!L101</f>
        <v>0.01</v>
      </c>
      <c r="O203" s="15">
        <f>'Изходни данни'!M101</f>
        <v>0.01</v>
      </c>
      <c r="P203" s="15">
        <f>'Изходни данни'!N101</f>
        <v>0.01</v>
      </c>
      <c r="Q203" s="9"/>
      <c r="R203" s="9"/>
      <c r="S203" s="9"/>
      <c r="T203" s="9"/>
      <c r="U203" s="9"/>
      <c r="V203" s="9"/>
      <c r="W203" s="9"/>
      <c r="X203" s="9"/>
      <c r="Y203" s="9"/>
    </row>
    <row r="204" spans="1:25" s="11" customFormat="1" x14ac:dyDescent="0.25">
      <c r="A204" s="12" t="s">
        <v>12</v>
      </c>
      <c r="D204" s="290" t="s">
        <v>19</v>
      </c>
      <c r="E204" s="15">
        <f>'Изходни данни'!C102</f>
        <v>5.5E-2</v>
      </c>
      <c r="F204" s="15">
        <f>'Изходни данни'!D102</f>
        <v>5.5E-2</v>
      </c>
      <c r="G204" s="15">
        <f>'Изходни данни'!E102</f>
        <v>5.5E-2</v>
      </c>
      <c r="H204" s="15">
        <f>'Изходни данни'!F102</f>
        <v>5.5E-2</v>
      </c>
      <c r="I204" s="15">
        <f>'Изходни данни'!G102</f>
        <v>5.5E-2</v>
      </c>
      <c r="J204" s="15">
        <f>'Изходни данни'!H102</f>
        <v>5.5E-2</v>
      </c>
      <c r="K204" s="15">
        <f>'Изходни данни'!I102</f>
        <v>5.5E-2</v>
      </c>
      <c r="L204" s="15">
        <f>'Изходни данни'!J102</f>
        <v>5.5E-2</v>
      </c>
      <c r="M204" s="15">
        <f>'Изходни данни'!K102</f>
        <v>5.5E-2</v>
      </c>
      <c r="N204" s="15">
        <f>'Изходни данни'!L102</f>
        <v>5.5E-2</v>
      </c>
      <c r="O204" s="15">
        <f>'Изходни данни'!M102</f>
        <v>5.5E-2</v>
      </c>
      <c r="P204" s="15">
        <f>'Изходни данни'!N102</f>
        <v>5.5E-2</v>
      </c>
      <c r="Q204" s="9"/>
      <c r="R204" s="9"/>
      <c r="S204" s="9"/>
      <c r="T204" s="9"/>
      <c r="U204" s="9"/>
      <c r="V204" s="9"/>
      <c r="W204" s="9"/>
      <c r="X204" s="9"/>
      <c r="Y204" s="9"/>
    </row>
    <row r="205" spans="1:25" s="11" customFormat="1" x14ac:dyDescent="0.25">
      <c r="A205" s="12" t="s">
        <v>11</v>
      </c>
      <c r="D205" s="290" t="s">
        <v>19</v>
      </c>
      <c r="E205" s="15">
        <f>'Изходни данни'!C103</f>
        <v>2.5000000000000001E-2</v>
      </c>
      <c r="F205" s="15">
        <f>'Изходни данни'!D103</f>
        <v>2.5000000000000001E-2</v>
      </c>
      <c r="G205" s="15">
        <f>'Изходни данни'!E103</f>
        <v>2.5000000000000001E-2</v>
      </c>
      <c r="H205" s="15">
        <f>'Изходни данни'!F103</f>
        <v>2.5000000000000001E-2</v>
      </c>
      <c r="I205" s="15">
        <f>'Изходни данни'!G103</f>
        <v>2.5000000000000001E-2</v>
      </c>
      <c r="J205" s="15">
        <f>'Изходни данни'!H103</f>
        <v>2.5000000000000001E-2</v>
      </c>
      <c r="K205" s="15">
        <f>'Изходни данни'!I103</f>
        <v>2.5000000000000001E-2</v>
      </c>
      <c r="L205" s="15">
        <f>'Изходни данни'!J103</f>
        <v>2.5000000000000001E-2</v>
      </c>
      <c r="M205" s="15">
        <f>'Изходни данни'!K103</f>
        <v>2.5000000000000001E-2</v>
      </c>
      <c r="N205" s="15">
        <f>'Изходни данни'!L103</f>
        <v>2.5000000000000001E-2</v>
      </c>
      <c r="O205" s="15">
        <f>'Изходни данни'!M103</f>
        <v>2.5000000000000001E-2</v>
      </c>
      <c r="P205" s="15">
        <f>'Изходни данни'!N103</f>
        <v>2.5000000000000001E-2</v>
      </c>
      <c r="Q205" s="9"/>
      <c r="R205" s="9"/>
      <c r="S205" s="9"/>
      <c r="T205" s="9"/>
      <c r="U205" s="9"/>
      <c r="V205" s="9"/>
      <c r="W205" s="9"/>
      <c r="X205" s="9"/>
      <c r="Y205" s="9"/>
    </row>
    <row r="206" spans="1:25" s="11" customFormat="1" x14ac:dyDescent="0.25">
      <c r="A206" s="12" t="s">
        <v>7</v>
      </c>
      <c r="D206" s="290" t="s">
        <v>19</v>
      </c>
      <c r="E206" s="15">
        <f>'Изходни данни'!C104</f>
        <v>0.08</v>
      </c>
      <c r="F206" s="15">
        <f>'Изходни данни'!D104</f>
        <v>0.08</v>
      </c>
      <c r="G206" s="15">
        <f>'Изходни данни'!E104</f>
        <v>0.08</v>
      </c>
      <c r="H206" s="15">
        <f>'Изходни данни'!F104</f>
        <v>0.08</v>
      </c>
      <c r="I206" s="15">
        <f>'Изходни данни'!G104</f>
        <v>0.08</v>
      </c>
      <c r="J206" s="15">
        <f>'Изходни данни'!H104</f>
        <v>0.08</v>
      </c>
      <c r="K206" s="15">
        <f>'Изходни данни'!I104</f>
        <v>0.08</v>
      </c>
      <c r="L206" s="15">
        <f>'Изходни данни'!J104</f>
        <v>0.08</v>
      </c>
      <c r="M206" s="15">
        <f>'Изходни данни'!K104</f>
        <v>0.08</v>
      </c>
      <c r="N206" s="15">
        <f>'Изходни данни'!L104</f>
        <v>0.08</v>
      </c>
      <c r="O206" s="15">
        <f>'Изходни данни'!M104</f>
        <v>0.08</v>
      </c>
      <c r="P206" s="15">
        <f>'Изходни данни'!N104</f>
        <v>0.08</v>
      </c>
      <c r="Q206" s="9"/>
      <c r="R206" s="9"/>
      <c r="S206" s="9"/>
      <c r="T206" s="9"/>
      <c r="U206" s="9"/>
      <c r="V206" s="9"/>
      <c r="W206" s="9"/>
      <c r="X206" s="9"/>
      <c r="Y206" s="9"/>
    </row>
    <row r="207" spans="1:25" s="11" customFormat="1" x14ac:dyDescent="0.25">
      <c r="A207" s="12" t="s">
        <v>8</v>
      </c>
      <c r="D207" s="290" t="s">
        <v>19</v>
      </c>
      <c r="E207" s="15">
        <f>'Изходни данни'!C105</f>
        <v>2.5000000000000001E-2</v>
      </c>
      <c r="F207" s="15">
        <f>'Изходни данни'!D105</f>
        <v>2.5000000000000001E-2</v>
      </c>
      <c r="G207" s="15">
        <f>'Изходни данни'!E105</f>
        <v>2.5000000000000001E-2</v>
      </c>
      <c r="H207" s="15">
        <f>'Изходни данни'!F105</f>
        <v>2.5000000000000001E-2</v>
      </c>
      <c r="I207" s="15">
        <f>'Изходни данни'!G105</f>
        <v>2.5000000000000001E-2</v>
      </c>
      <c r="J207" s="15">
        <f>'Изходни данни'!H105</f>
        <v>2.5000000000000001E-2</v>
      </c>
      <c r="K207" s="15">
        <f>'Изходни данни'!I105</f>
        <v>2.5000000000000001E-2</v>
      </c>
      <c r="L207" s="15">
        <f>'Изходни данни'!J105</f>
        <v>2.5000000000000001E-2</v>
      </c>
      <c r="M207" s="15">
        <f>'Изходни данни'!K105</f>
        <v>2.5000000000000001E-2</v>
      </c>
      <c r="N207" s="15">
        <f>'Изходни данни'!L105</f>
        <v>2.5000000000000001E-2</v>
      </c>
      <c r="O207" s="15">
        <f>'Изходни данни'!M105</f>
        <v>2.5000000000000001E-2</v>
      </c>
      <c r="P207" s="15">
        <f>'Изходни данни'!N105</f>
        <v>2.5000000000000001E-2</v>
      </c>
      <c r="Q207" s="9"/>
      <c r="R207" s="9"/>
      <c r="S207" s="9"/>
      <c r="T207" s="9"/>
      <c r="U207" s="9"/>
      <c r="V207" s="9"/>
      <c r="W207" s="9"/>
      <c r="X207" s="9"/>
      <c r="Y207" s="9"/>
    </row>
    <row r="208" spans="1:25" s="11" customFormat="1" x14ac:dyDescent="0.25">
      <c r="A208" s="12" t="s">
        <v>9</v>
      </c>
      <c r="D208" s="290" t="s">
        <v>19</v>
      </c>
      <c r="E208" s="15">
        <f>'Изходни данни'!C106</f>
        <v>0.13</v>
      </c>
      <c r="F208" s="15">
        <f>'Изходни данни'!D106</f>
        <v>0.13</v>
      </c>
      <c r="G208" s="15">
        <f>'Изходни данни'!E106</f>
        <v>0.13</v>
      </c>
      <c r="H208" s="15">
        <f>'Изходни данни'!F106</f>
        <v>0.13</v>
      </c>
      <c r="I208" s="15">
        <f>'Изходни данни'!G106</f>
        <v>0.13</v>
      </c>
      <c r="J208" s="15">
        <f>'Изходни данни'!H106</f>
        <v>0.13</v>
      </c>
      <c r="K208" s="15">
        <f>'Изходни данни'!I106</f>
        <v>0.13</v>
      </c>
      <c r="L208" s="15">
        <f>'Изходни данни'!J106</f>
        <v>0.13</v>
      </c>
      <c r="M208" s="15">
        <f>'Изходни данни'!K106</f>
        <v>0.13</v>
      </c>
      <c r="N208" s="15">
        <f>'Изходни данни'!L106</f>
        <v>0.13</v>
      </c>
      <c r="O208" s="15">
        <f>'Изходни данни'!M106</f>
        <v>0.13</v>
      </c>
      <c r="P208" s="15">
        <f>'Изходни данни'!N106</f>
        <v>0.13</v>
      </c>
      <c r="Q208" s="9"/>
      <c r="R208" s="9"/>
      <c r="S208" s="9"/>
      <c r="T208" s="9"/>
      <c r="U208" s="9"/>
      <c r="V208" s="9"/>
      <c r="W208" s="9"/>
      <c r="X208" s="9"/>
      <c r="Y208" s="9"/>
    </row>
    <row r="209" spans="1:25" s="11" customFormat="1" x14ac:dyDescent="0.25">
      <c r="A209" s="12" t="s">
        <v>10</v>
      </c>
      <c r="D209" s="290" t="s">
        <v>19</v>
      </c>
      <c r="E209" s="15">
        <f>'Изходни данни'!C107</f>
        <v>5.0000000000000001E-3</v>
      </c>
      <c r="F209" s="15">
        <f>'Изходни данни'!D107</f>
        <v>5.0000000000000001E-3</v>
      </c>
      <c r="G209" s="15">
        <f>'Изходни данни'!E107</f>
        <v>5.0000000000000001E-3</v>
      </c>
      <c r="H209" s="15">
        <f>'Изходни данни'!F107</f>
        <v>5.0000000000000001E-3</v>
      </c>
      <c r="I209" s="15">
        <f>'Изходни данни'!G107</f>
        <v>5.0000000000000001E-3</v>
      </c>
      <c r="J209" s="15">
        <f>'Изходни данни'!H107</f>
        <v>5.0000000000000001E-3</v>
      </c>
      <c r="K209" s="15">
        <f>'Изходни данни'!I107</f>
        <v>5.0000000000000001E-3</v>
      </c>
      <c r="L209" s="15">
        <f>'Изходни данни'!J107</f>
        <v>5.0000000000000001E-3</v>
      </c>
      <c r="M209" s="15">
        <f>'Изходни данни'!K107</f>
        <v>5.0000000000000001E-3</v>
      </c>
      <c r="N209" s="15">
        <f>'Изходни данни'!L107</f>
        <v>5.0000000000000001E-3</v>
      </c>
      <c r="O209" s="15">
        <f>'Изходни данни'!M107</f>
        <v>5.0000000000000001E-3</v>
      </c>
      <c r="P209" s="15">
        <f>'Изходни данни'!N107</f>
        <v>5.0000000000000001E-3</v>
      </c>
      <c r="Q209" s="9"/>
      <c r="R209" s="9"/>
      <c r="S209" s="9"/>
      <c r="T209" s="9"/>
      <c r="U209" s="9"/>
      <c r="V209" s="9"/>
      <c r="W209" s="9"/>
      <c r="X209" s="9"/>
      <c r="Y209" s="9"/>
    </row>
    <row r="210" spans="1:25" s="11" customFormat="1" x14ac:dyDescent="0.25">
      <c r="A210" s="10"/>
      <c r="D210" s="291"/>
      <c r="E210" s="27"/>
      <c r="F210" s="27"/>
      <c r="G210" s="27"/>
      <c r="H210" s="27"/>
      <c r="I210" s="27"/>
      <c r="J210" s="27"/>
      <c r="K210" s="27"/>
      <c r="L210" s="27"/>
      <c r="M210" s="27"/>
      <c r="N210" s="27"/>
      <c r="O210" s="27"/>
      <c r="P210" s="27"/>
    </row>
    <row r="211" spans="1:25" s="11" customFormat="1" x14ac:dyDescent="0.25">
      <c r="A211" s="174" t="str">
        <f>A103</f>
        <v xml:space="preserve">Норма на натрупване, домакинства </v>
      </c>
      <c r="D211" s="292" t="s">
        <v>158</v>
      </c>
      <c r="E211" s="25">
        <f>SUM(E212:E224)</f>
        <v>350</v>
      </c>
      <c r="F211" s="25">
        <f t="shared" ref="F211:P211" si="39">SUM(F212:F224)</f>
        <v>350</v>
      </c>
      <c r="G211" s="25">
        <f t="shared" si="39"/>
        <v>350</v>
      </c>
      <c r="H211" s="25">
        <f t="shared" si="39"/>
        <v>350</v>
      </c>
      <c r="I211" s="25">
        <f t="shared" si="39"/>
        <v>350</v>
      </c>
      <c r="J211" s="25">
        <f t="shared" si="39"/>
        <v>350</v>
      </c>
      <c r="K211" s="25">
        <f t="shared" si="39"/>
        <v>350</v>
      </c>
      <c r="L211" s="25">
        <f t="shared" si="39"/>
        <v>350</v>
      </c>
      <c r="M211" s="25">
        <f t="shared" si="39"/>
        <v>350</v>
      </c>
      <c r="N211" s="25">
        <f t="shared" si="39"/>
        <v>350</v>
      </c>
      <c r="O211" s="25">
        <f t="shared" si="39"/>
        <v>350</v>
      </c>
      <c r="P211" s="25">
        <f t="shared" si="39"/>
        <v>350</v>
      </c>
    </row>
    <row r="212" spans="1:25" s="11" customFormat="1" x14ac:dyDescent="0.25">
      <c r="A212" s="12" t="s">
        <v>0</v>
      </c>
      <c r="D212" s="292" t="s">
        <v>158</v>
      </c>
      <c r="E212" s="24">
        <f>E182/E$8*1000</f>
        <v>73.5</v>
      </c>
      <c r="F212" s="24">
        <f t="shared" ref="F212:P212" si="40">F182/F$8*1000</f>
        <v>73.5</v>
      </c>
      <c r="G212" s="24">
        <f t="shared" si="40"/>
        <v>73.5</v>
      </c>
      <c r="H212" s="24">
        <f t="shared" si="40"/>
        <v>73.5</v>
      </c>
      <c r="I212" s="24">
        <f t="shared" si="40"/>
        <v>73.5</v>
      </c>
      <c r="J212" s="24">
        <f t="shared" si="40"/>
        <v>73.5</v>
      </c>
      <c r="K212" s="24">
        <f t="shared" si="40"/>
        <v>73.5</v>
      </c>
      <c r="L212" s="24">
        <f t="shared" si="40"/>
        <v>73.5</v>
      </c>
      <c r="M212" s="24">
        <f t="shared" si="40"/>
        <v>73.5</v>
      </c>
      <c r="N212" s="24">
        <f t="shared" si="40"/>
        <v>73.5</v>
      </c>
      <c r="O212" s="24">
        <f t="shared" si="40"/>
        <v>73.5</v>
      </c>
      <c r="P212" s="24">
        <f t="shared" si="40"/>
        <v>73.5</v>
      </c>
    </row>
    <row r="213" spans="1:25" s="11" customFormat="1" x14ac:dyDescent="0.25">
      <c r="A213" s="12" t="s">
        <v>1</v>
      </c>
      <c r="D213" s="292" t="s">
        <v>158</v>
      </c>
      <c r="E213" s="24">
        <f t="shared" ref="E213:P224" si="41">E183/E$8*1000</f>
        <v>45.5</v>
      </c>
      <c r="F213" s="24">
        <f t="shared" si="41"/>
        <v>45.5</v>
      </c>
      <c r="G213" s="24">
        <f t="shared" si="41"/>
        <v>45.5</v>
      </c>
      <c r="H213" s="24">
        <f t="shared" si="41"/>
        <v>45.5</v>
      </c>
      <c r="I213" s="24">
        <f t="shared" si="41"/>
        <v>45.5</v>
      </c>
      <c r="J213" s="24">
        <f t="shared" si="41"/>
        <v>45.5</v>
      </c>
      <c r="K213" s="24">
        <f t="shared" si="41"/>
        <v>45.5</v>
      </c>
      <c r="L213" s="24">
        <f t="shared" si="41"/>
        <v>45.5</v>
      </c>
      <c r="M213" s="24">
        <f t="shared" si="41"/>
        <v>45.5</v>
      </c>
      <c r="N213" s="24">
        <f t="shared" si="41"/>
        <v>45.5</v>
      </c>
      <c r="O213" s="24">
        <f t="shared" si="41"/>
        <v>45.5</v>
      </c>
      <c r="P213" s="24">
        <f t="shared" si="41"/>
        <v>45.5</v>
      </c>
    </row>
    <row r="214" spans="1:25" s="11" customFormat="1" x14ac:dyDescent="0.25">
      <c r="A214" s="12" t="s">
        <v>2</v>
      </c>
      <c r="D214" s="292" t="s">
        <v>158</v>
      </c>
      <c r="E214" s="24">
        <f t="shared" si="41"/>
        <v>49.000000000000007</v>
      </c>
      <c r="F214" s="24">
        <f t="shared" si="41"/>
        <v>49.000000000000007</v>
      </c>
      <c r="G214" s="24">
        <f t="shared" si="41"/>
        <v>49.000000000000007</v>
      </c>
      <c r="H214" s="24">
        <f t="shared" si="41"/>
        <v>49.000000000000007</v>
      </c>
      <c r="I214" s="24">
        <f t="shared" si="41"/>
        <v>49.000000000000007</v>
      </c>
      <c r="J214" s="24">
        <f t="shared" si="41"/>
        <v>49.000000000000007</v>
      </c>
      <c r="K214" s="24">
        <f t="shared" si="41"/>
        <v>49.000000000000007</v>
      </c>
      <c r="L214" s="24">
        <f t="shared" si="41"/>
        <v>49.000000000000007</v>
      </c>
      <c r="M214" s="24">
        <f t="shared" si="41"/>
        <v>49.000000000000007</v>
      </c>
      <c r="N214" s="24">
        <f t="shared" si="41"/>
        <v>49.000000000000007</v>
      </c>
      <c r="O214" s="24">
        <f t="shared" si="41"/>
        <v>49.000000000000007</v>
      </c>
      <c r="P214" s="24">
        <f t="shared" si="41"/>
        <v>49.000000000000007</v>
      </c>
    </row>
    <row r="215" spans="1:25" s="11" customFormat="1" x14ac:dyDescent="0.25">
      <c r="A215" s="12" t="s">
        <v>3</v>
      </c>
      <c r="D215" s="292" t="s">
        <v>158</v>
      </c>
      <c r="E215" s="24">
        <f t="shared" si="41"/>
        <v>49.000000000000007</v>
      </c>
      <c r="F215" s="24">
        <f t="shared" si="41"/>
        <v>49.000000000000007</v>
      </c>
      <c r="G215" s="24">
        <f t="shared" si="41"/>
        <v>49.000000000000007</v>
      </c>
      <c r="H215" s="24">
        <f t="shared" si="41"/>
        <v>49.000000000000007</v>
      </c>
      <c r="I215" s="24">
        <f t="shared" si="41"/>
        <v>49.000000000000007</v>
      </c>
      <c r="J215" s="24">
        <f t="shared" si="41"/>
        <v>49.000000000000007</v>
      </c>
      <c r="K215" s="24">
        <f t="shared" si="41"/>
        <v>49.000000000000007</v>
      </c>
      <c r="L215" s="24">
        <f t="shared" si="41"/>
        <v>49.000000000000007</v>
      </c>
      <c r="M215" s="24">
        <f t="shared" si="41"/>
        <v>49.000000000000007</v>
      </c>
      <c r="N215" s="24">
        <f t="shared" si="41"/>
        <v>49.000000000000007</v>
      </c>
      <c r="O215" s="24">
        <f t="shared" si="41"/>
        <v>49.000000000000007</v>
      </c>
      <c r="P215" s="24">
        <f t="shared" si="41"/>
        <v>49.000000000000007</v>
      </c>
    </row>
    <row r="216" spans="1:25" s="11" customFormat="1" x14ac:dyDescent="0.25">
      <c r="A216" s="12" t="s">
        <v>4</v>
      </c>
      <c r="D216" s="292" t="s">
        <v>158</v>
      </c>
      <c r="E216" s="24">
        <f t="shared" si="41"/>
        <v>14</v>
      </c>
      <c r="F216" s="24">
        <f t="shared" si="41"/>
        <v>14</v>
      </c>
      <c r="G216" s="24">
        <f t="shared" si="41"/>
        <v>14</v>
      </c>
      <c r="H216" s="24">
        <f t="shared" si="41"/>
        <v>14</v>
      </c>
      <c r="I216" s="24">
        <f t="shared" si="41"/>
        <v>14</v>
      </c>
      <c r="J216" s="24">
        <f t="shared" si="41"/>
        <v>14</v>
      </c>
      <c r="K216" s="24">
        <f t="shared" si="41"/>
        <v>14</v>
      </c>
      <c r="L216" s="24">
        <f t="shared" si="41"/>
        <v>14</v>
      </c>
      <c r="M216" s="24">
        <f t="shared" si="41"/>
        <v>14</v>
      </c>
      <c r="N216" s="24">
        <f t="shared" si="41"/>
        <v>14</v>
      </c>
      <c r="O216" s="24">
        <f t="shared" si="41"/>
        <v>14</v>
      </c>
      <c r="P216" s="24">
        <f t="shared" si="41"/>
        <v>14</v>
      </c>
    </row>
    <row r="217" spans="1:25" s="11" customFormat="1" x14ac:dyDescent="0.25">
      <c r="A217" s="12" t="s">
        <v>5</v>
      </c>
      <c r="D217" s="292" t="s">
        <v>158</v>
      </c>
      <c r="E217" s="24">
        <f t="shared" si="41"/>
        <v>3.5</v>
      </c>
      <c r="F217" s="24">
        <f t="shared" si="41"/>
        <v>3.5</v>
      </c>
      <c r="G217" s="24">
        <f t="shared" si="41"/>
        <v>3.5</v>
      </c>
      <c r="H217" s="24">
        <f t="shared" si="41"/>
        <v>3.5</v>
      </c>
      <c r="I217" s="24">
        <f t="shared" si="41"/>
        <v>3.5</v>
      </c>
      <c r="J217" s="24">
        <f t="shared" si="41"/>
        <v>3.5</v>
      </c>
      <c r="K217" s="24">
        <f t="shared" si="41"/>
        <v>3.5</v>
      </c>
      <c r="L217" s="24">
        <f t="shared" si="41"/>
        <v>3.5</v>
      </c>
      <c r="M217" s="24">
        <f t="shared" si="41"/>
        <v>3.5</v>
      </c>
      <c r="N217" s="24">
        <f t="shared" si="41"/>
        <v>3.5</v>
      </c>
      <c r="O217" s="24">
        <f t="shared" si="41"/>
        <v>3.5</v>
      </c>
      <c r="P217" s="24">
        <f t="shared" si="41"/>
        <v>3.5</v>
      </c>
    </row>
    <row r="218" spans="1:25" s="11" customFormat="1" x14ac:dyDescent="0.25">
      <c r="A218" s="12" t="s">
        <v>6</v>
      </c>
      <c r="D218" s="292" t="s">
        <v>158</v>
      </c>
      <c r="E218" s="24">
        <f t="shared" si="41"/>
        <v>3.5</v>
      </c>
      <c r="F218" s="24">
        <f t="shared" si="41"/>
        <v>3.5</v>
      </c>
      <c r="G218" s="24">
        <f t="shared" si="41"/>
        <v>3.5</v>
      </c>
      <c r="H218" s="24">
        <f t="shared" si="41"/>
        <v>3.5</v>
      </c>
      <c r="I218" s="24">
        <f t="shared" si="41"/>
        <v>3.5</v>
      </c>
      <c r="J218" s="24">
        <f t="shared" si="41"/>
        <v>3.5</v>
      </c>
      <c r="K218" s="24">
        <f t="shared" si="41"/>
        <v>3.5</v>
      </c>
      <c r="L218" s="24">
        <f t="shared" si="41"/>
        <v>3.5</v>
      </c>
      <c r="M218" s="24">
        <f t="shared" si="41"/>
        <v>3.5</v>
      </c>
      <c r="N218" s="24">
        <f t="shared" si="41"/>
        <v>3.5</v>
      </c>
      <c r="O218" s="24">
        <f t="shared" si="41"/>
        <v>3.5</v>
      </c>
      <c r="P218" s="24">
        <f t="shared" si="41"/>
        <v>3.5</v>
      </c>
    </row>
    <row r="219" spans="1:25" s="11" customFormat="1" x14ac:dyDescent="0.25">
      <c r="A219" s="12" t="s">
        <v>12</v>
      </c>
      <c r="D219" s="292" t="s">
        <v>158</v>
      </c>
      <c r="E219" s="24">
        <f t="shared" si="41"/>
        <v>19.25</v>
      </c>
      <c r="F219" s="24">
        <f t="shared" si="41"/>
        <v>19.25</v>
      </c>
      <c r="G219" s="24">
        <f t="shared" si="41"/>
        <v>19.25</v>
      </c>
      <c r="H219" s="24">
        <f t="shared" si="41"/>
        <v>19.25</v>
      </c>
      <c r="I219" s="24">
        <f t="shared" si="41"/>
        <v>19.25</v>
      </c>
      <c r="J219" s="24">
        <f t="shared" si="41"/>
        <v>19.25</v>
      </c>
      <c r="K219" s="24">
        <f t="shared" si="41"/>
        <v>19.25</v>
      </c>
      <c r="L219" s="24">
        <f t="shared" si="41"/>
        <v>19.25</v>
      </c>
      <c r="M219" s="24">
        <f t="shared" si="41"/>
        <v>19.25</v>
      </c>
      <c r="N219" s="24">
        <f t="shared" si="41"/>
        <v>19.25</v>
      </c>
      <c r="O219" s="24">
        <f t="shared" si="41"/>
        <v>19.25</v>
      </c>
      <c r="P219" s="24">
        <f t="shared" si="41"/>
        <v>19.25</v>
      </c>
    </row>
    <row r="220" spans="1:25" s="11" customFormat="1" x14ac:dyDescent="0.25">
      <c r="A220" s="12" t="s">
        <v>11</v>
      </c>
      <c r="D220" s="292" t="s">
        <v>158</v>
      </c>
      <c r="E220" s="24">
        <f t="shared" si="41"/>
        <v>8.75</v>
      </c>
      <c r="F220" s="24">
        <f t="shared" si="41"/>
        <v>8.75</v>
      </c>
      <c r="G220" s="24">
        <f t="shared" si="41"/>
        <v>8.75</v>
      </c>
      <c r="H220" s="24">
        <f t="shared" si="41"/>
        <v>8.75</v>
      </c>
      <c r="I220" s="24">
        <f t="shared" si="41"/>
        <v>8.75</v>
      </c>
      <c r="J220" s="24">
        <f t="shared" si="41"/>
        <v>8.75</v>
      </c>
      <c r="K220" s="24">
        <f t="shared" si="41"/>
        <v>8.75</v>
      </c>
      <c r="L220" s="24">
        <f t="shared" si="41"/>
        <v>8.75</v>
      </c>
      <c r="M220" s="24">
        <f t="shared" si="41"/>
        <v>8.75</v>
      </c>
      <c r="N220" s="24">
        <f t="shared" si="41"/>
        <v>8.75</v>
      </c>
      <c r="O220" s="24">
        <f t="shared" si="41"/>
        <v>8.75</v>
      </c>
      <c r="P220" s="24">
        <f t="shared" si="41"/>
        <v>8.75</v>
      </c>
    </row>
    <row r="221" spans="1:25" s="11" customFormat="1" x14ac:dyDescent="0.25">
      <c r="A221" s="12" t="s">
        <v>7</v>
      </c>
      <c r="D221" s="292" t="s">
        <v>158</v>
      </c>
      <c r="E221" s="24">
        <f t="shared" si="41"/>
        <v>28</v>
      </c>
      <c r="F221" s="24">
        <f t="shared" si="41"/>
        <v>28</v>
      </c>
      <c r="G221" s="24">
        <f t="shared" si="41"/>
        <v>28</v>
      </c>
      <c r="H221" s="24">
        <f t="shared" si="41"/>
        <v>28</v>
      </c>
      <c r="I221" s="24">
        <f t="shared" si="41"/>
        <v>28</v>
      </c>
      <c r="J221" s="24">
        <f t="shared" si="41"/>
        <v>28</v>
      </c>
      <c r="K221" s="24">
        <f t="shared" si="41"/>
        <v>28</v>
      </c>
      <c r="L221" s="24">
        <f t="shared" si="41"/>
        <v>28</v>
      </c>
      <c r="M221" s="24">
        <f t="shared" si="41"/>
        <v>28</v>
      </c>
      <c r="N221" s="24">
        <f t="shared" si="41"/>
        <v>28</v>
      </c>
      <c r="O221" s="24">
        <f t="shared" si="41"/>
        <v>28</v>
      </c>
      <c r="P221" s="24">
        <f t="shared" si="41"/>
        <v>28</v>
      </c>
    </row>
    <row r="222" spans="1:25" s="11" customFormat="1" x14ac:dyDescent="0.25">
      <c r="A222" s="12" t="s">
        <v>8</v>
      </c>
      <c r="D222" s="292" t="s">
        <v>158</v>
      </c>
      <c r="E222" s="24">
        <f t="shared" si="41"/>
        <v>8.75</v>
      </c>
      <c r="F222" s="24">
        <f t="shared" si="41"/>
        <v>8.75</v>
      </c>
      <c r="G222" s="24">
        <f t="shared" si="41"/>
        <v>8.75</v>
      </c>
      <c r="H222" s="24">
        <f t="shared" si="41"/>
        <v>8.75</v>
      </c>
      <c r="I222" s="24">
        <f t="shared" si="41"/>
        <v>8.75</v>
      </c>
      <c r="J222" s="24">
        <f t="shared" si="41"/>
        <v>8.75</v>
      </c>
      <c r="K222" s="24">
        <f t="shared" si="41"/>
        <v>8.75</v>
      </c>
      <c r="L222" s="24">
        <f t="shared" si="41"/>
        <v>8.75</v>
      </c>
      <c r="M222" s="24">
        <f t="shared" si="41"/>
        <v>8.75</v>
      </c>
      <c r="N222" s="24">
        <f t="shared" si="41"/>
        <v>8.75</v>
      </c>
      <c r="O222" s="24">
        <f t="shared" si="41"/>
        <v>8.75</v>
      </c>
      <c r="P222" s="24">
        <f t="shared" si="41"/>
        <v>8.75</v>
      </c>
    </row>
    <row r="223" spans="1:25" s="11" customFormat="1" x14ac:dyDescent="0.25">
      <c r="A223" s="12" t="s">
        <v>9</v>
      </c>
      <c r="D223" s="292" t="s">
        <v>158</v>
      </c>
      <c r="E223" s="24">
        <f t="shared" si="41"/>
        <v>45.5</v>
      </c>
      <c r="F223" s="24">
        <f t="shared" si="41"/>
        <v>45.5</v>
      </c>
      <c r="G223" s="24">
        <f t="shared" si="41"/>
        <v>45.5</v>
      </c>
      <c r="H223" s="24">
        <f t="shared" si="41"/>
        <v>45.5</v>
      </c>
      <c r="I223" s="24">
        <f t="shared" si="41"/>
        <v>45.5</v>
      </c>
      <c r="J223" s="24">
        <f t="shared" si="41"/>
        <v>45.5</v>
      </c>
      <c r="K223" s="24">
        <f t="shared" si="41"/>
        <v>45.5</v>
      </c>
      <c r="L223" s="24">
        <f t="shared" si="41"/>
        <v>45.5</v>
      </c>
      <c r="M223" s="24">
        <f t="shared" si="41"/>
        <v>45.5</v>
      </c>
      <c r="N223" s="24">
        <f t="shared" si="41"/>
        <v>45.5</v>
      </c>
      <c r="O223" s="24">
        <f t="shared" si="41"/>
        <v>45.5</v>
      </c>
      <c r="P223" s="24">
        <f t="shared" si="41"/>
        <v>45.5</v>
      </c>
    </row>
    <row r="224" spans="1:25" s="11" customFormat="1" x14ac:dyDescent="0.25">
      <c r="A224" s="12" t="s">
        <v>10</v>
      </c>
      <c r="D224" s="292" t="s">
        <v>158</v>
      </c>
      <c r="E224" s="24">
        <f t="shared" si="41"/>
        <v>1.75</v>
      </c>
      <c r="F224" s="24">
        <f t="shared" si="41"/>
        <v>1.75</v>
      </c>
      <c r="G224" s="24">
        <f t="shared" si="41"/>
        <v>1.75</v>
      </c>
      <c r="H224" s="24">
        <f t="shared" si="41"/>
        <v>1.75</v>
      </c>
      <c r="I224" s="24">
        <f t="shared" si="41"/>
        <v>1.75</v>
      </c>
      <c r="J224" s="24">
        <f t="shared" si="41"/>
        <v>1.75</v>
      </c>
      <c r="K224" s="24">
        <f t="shared" si="41"/>
        <v>1.75</v>
      </c>
      <c r="L224" s="24">
        <f t="shared" si="41"/>
        <v>1.75</v>
      </c>
      <c r="M224" s="24">
        <f t="shared" si="41"/>
        <v>1.75</v>
      </c>
      <c r="N224" s="24">
        <f t="shared" si="41"/>
        <v>1.75</v>
      </c>
      <c r="O224" s="24">
        <f t="shared" si="41"/>
        <v>1.75</v>
      </c>
      <c r="P224" s="24">
        <f t="shared" si="41"/>
        <v>1.75</v>
      </c>
    </row>
    <row r="225" spans="1:16" s="11" customFormat="1" x14ac:dyDescent="0.25">
      <c r="A225" s="10"/>
      <c r="D225" s="291"/>
      <c r="E225" s="25"/>
      <c r="F225" s="25"/>
      <c r="G225" s="25"/>
      <c r="H225" s="25"/>
      <c r="I225" s="25"/>
      <c r="J225" s="25"/>
      <c r="K225" s="25"/>
      <c r="L225" s="25"/>
      <c r="M225" s="25"/>
      <c r="N225" s="25"/>
      <c r="O225" s="25"/>
      <c r="P225" s="25"/>
    </row>
    <row r="226" spans="1:16" x14ac:dyDescent="0.25">
      <c r="A226" s="171" t="str">
        <f>A118</f>
        <v>Съотношение образувани отпадъци юридически лица/домакинства</v>
      </c>
      <c r="D226" s="79"/>
      <c r="E226" s="29">
        <f>E151/E181</f>
        <v>0.2</v>
      </c>
      <c r="F226" s="29">
        <f t="shared" ref="F226:P226" si="42">F151/F181</f>
        <v>0.2</v>
      </c>
      <c r="G226" s="29">
        <f t="shared" si="42"/>
        <v>0.2</v>
      </c>
      <c r="H226" s="29">
        <f t="shared" si="42"/>
        <v>0.2</v>
      </c>
      <c r="I226" s="29">
        <f t="shared" si="42"/>
        <v>0.2</v>
      </c>
      <c r="J226" s="29">
        <f t="shared" si="42"/>
        <v>0.2</v>
      </c>
      <c r="K226" s="29">
        <f t="shared" si="42"/>
        <v>0.2</v>
      </c>
      <c r="L226" s="29">
        <f t="shared" si="42"/>
        <v>0.2</v>
      </c>
      <c r="M226" s="29">
        <f t="shared" si="42"/>
        <v>0.2</v>
      </c>
      <c r="N226" s="29">
        <f t="shared" si="42"/>
        <v>0.2</v>
      </c>
      <c r="O226" s="29">
        <f t="shared" si="42"/>
        <v>0.2</v>
      </c>
      <c r="P226" s="29">
        <f t="shared" si="42"/>
        <v>0.2</v>
      </c>
    </row>
    <row r="227" spans="1:16" x14ac:dyDescent="0.25">
      <c r="E227" s="24"/>
      <c r="F227" s="24"/>
      <c r="G227" s="24"/>
      <c r="H227" s="24"/>
      <c r="I227" s="24"/>
      <c r="J227" s="23"/>
      <c r="K227" s="23"/>
      <c r="L227" s="23"/>
      <c r="M227" s="23"/>
      <c r="N227" s="23"/>
      <c r="O227" s="23"/>
      <c r="P227" s="23"/>
    </row>
    <row r="228" spans="1:16" s="11" customFormat="1" ht="23.25" x14ac:dyDescent="0.35">
      <c r="A228" s="160" t="s">
        <v>161</v>
      </c>
      <c r="B228" s="161"/>
      <c r="C228" s="161"/>
      <c r="D228" s="297"/>
      <c r="E228" s="161"/>
      <c r="F228" s="161"/>
      <c r="G228" s="161"/>
      <c r="H228" s="161"/>
      <c r="I228" s="161"/>
      <c r="J228" s="161"/>
      <c r="K228" s="161"/>
      <c r="L228" s="161"/>
      <c r="M228" s="161"/>
      <c r="N228" s="161"/>
      <c r="O228" s="161"/>
      <c r="P228" s="161"/>
    </row>
    <row r="229" spans="1:16" x14ac:dyDescent="0.25">
      <c r="E229" s="24"/>
      <c r="F229" s="24"/>
      <c r="G229" s="24"/>
      <c r="H229" s="24"/>
      <c r="I229" s="24"/>
      <c r="J229" s="24"/>
      <c r="K229" s="24"/>
      <c r="L229" s="24"/>
      <c r="M229" s="24"/>
      <c r="N229" s="24"/>
      <c r="O229" s="24"/>
      <c r="P229" s="24"/>
    </row>
    <row r="230" spans="1:16" s="11" customFormat="1" x14ac:dyDescent="0.25">
      <c r="A230" s="162" t="s">
        <v>165</v>
      </c>
      <c r="D230" s="294" t="s">
        <v>22</v>
      </c>
      <c r="E230" s="25">
        <f t="shared" ref="E230:P230" si="43">SUM(E231:E243)</f>
        <v>13800</v>
      </c>
      <c r="F230" s="25">
        <f t="shared" si="43"/>
        <v>13800</v>
      </c>
      <c r="G230" s="25">
        <f t="shared" si="43"/>
        <v>13800</v>
      </c>
      <c r="H230" s="25">
        <f t="shared" si="43"/>
        <v>13800</v>
      </c>
      <c r="I230" s="25">
        <f t="shared" si="43"/>
        <v>13800</v>
      </c>
      <c r="J230" s="25">
        <f t="shared" si="43"/>
        <v>13800</v>
      </c>
      <c r="K230" s="25">
        <f t="shared" si="43"/>
        <v>13800</v>
      </c>
      <c r="L230" s="25">
        <f t="shared" si="43"/>
        <v>13800</v>
      </c>
      <c r="M230" s="25">
        <f t="shared" si="43"/>
        <v>13800</v>
      </c>
      <c r="N230" s="25">
        <f t="shared" si="43"/>
        <v>13800</v>
      </c>
      <c r="O230" s="25">
        <f t="shared" si="43"/>
        <v>13800</v>
      </c>
      <c r="P230" s="25">
        <f t="shared" si="43"/>
        <v>13800</v>
      </c>
    </row>
    <row r="231" spans="1:16" x14ac:dyDescent="0.25">
      <c r="A231" s="12" t="s">
        <v>0</v>
      </c>
      <c r="B231" s="9"/>
      <c r="D231" s="292" t="s">
        <v>22</v>
      </c>
      <c r="E231" s="24">
        <f t="shared" ref="E231:P231" si="44">E137+E29</f>
        <v>2898</v>
      </c>
      <c r="F231" s="24">
        <f t="shared" si="44"/>
        <v>2898</v>
      </c>
      <c r="G231" s="24">
        <f t="shared" si="44"/>
        <v>2898</v>
      </c>
      <c r="H231" s="24">
        <f t="shared" si="44"/>
        <v>2898</v>
      </c>
      <c r="I231" s="24">
        <f t="shared" si="44"/>
        <v>2898</v>
      </c>
      <c r="J231" s="24">
        <f t="shared" si="44"/>
        <v>2898</v>
      </c>
      <c r="K231" s="24">
        <f t="shared" si="44"/>
        <v>2898</v>
      </c>
      <c r="L231" s="24">
        <f t="shared" si="44"/>
        <v>2898</v>
      </c>
      <c r="M231" s="24">
        <f t="shared" si="44"/>
        <v>2898</v>
      </c>
      <c r="N231" s="24">
        <f t="shared" si="44"/>
        <v>2898</v>
      </c>
      <c r="O231" s="24">
        <f t="shared" si="44"/>
        <v>2898</v>
      </c>
      <c r="P231" s="24">
        <f t="shared" si="44"/>
        <v>2898</v>
      </c>
    </row>
    <row r="232" spans="1:16" x14ac:dyDescent="0.25">
      <c r="A232" s="12" t="s">
        <v>1</v>
      </c>
      <c r="B232" s="9"/>
      <c r="D232" s="292" t="s">
        <v>22</v>
      </c>
      <c r="E232" s="24">
        <f t="shared" ref="E232:P232" si="45">E138+E30</f>
        <v>1584</v>
      </c>
      <c r="F232" s="24">
        <f t="shared" si="45"/>
        <v>1584</v>
      </c>
      <c r="G232" s="24">
        <f t="shared" si="45"/>
        <v>1584</v>
      </c>
      <c r="H232" s="24">
        <f t="shared" si="45"/>
        <v>1584</v>
      </c>
      <c r="I232" s="24">
        <f t="shared" si="45"/>
        <v>1584</v>
      </c>
      <c r="J232" s="24">
        <f t="shared" si="45"/>
        <v>1584</v>
      </c>
      <c r="K232" s="24">
        <f t="shared" si="45"/>
        <v>1584</v>
      </c>
      <c r="L232" s="24">
        <f t="shared" si="45"/>
        <v>1584</v>
      </c>
      <c r="M232" s="24">
        <f t="shared" si="45"/>
        <v>1584</v>
      </c>
      <c r="N232" s="24">
        <f t="shared" si="45"/>
        <v>1584</v>
      </c>
      <c r="O232" s="24">
        <f t="shared" si="45"/>
        <v>1584</v>
      </c>
      <c r="P232" s="24">
        <f t="shared" si="45"/>
        <v>1584</v>
      </c>
    </row>
    <row r="233" spans="1:16" x14ac:dyDescent="0.25">
      <c r="A233" s="12" t="s">
        <v>2</v>
      </c>
      <c r="B233" s="9"/>
      <c r="D233" s="292" t="s">
        <v>22</v>
      </c>
      <c r="E233" s="24">
        <f t="shared" ref="E233:P233" si="46">E139+E31</f>
        <v>1857.0000000000002</v>
      </c>
      <c r="F233" s="24">
        <f t="shared" si="46"/>
        <v>1857.0000000000002</v>
      </c>
      <c r="G233" s="24">
        <f t="shared" si="46"/>
        <v>1857.0000000000002</v>
      </c>
      <c r="H233" s="24">
        <f t="shared" si="46"/>
        <v>1857.0000000000002</v>
      </c>
      <c r="I233" s="24">
        <f t="shared" si="46"/>
        <v>1857.0000000000002</v>
      </c>
      <c r="J233" s="24">
        <f t="shared" si="46"/>
        <v>1857.0000000000002</v>
      </c>
      <c r="K233" s="24">
        <f t="shared" si="46"/>
        <v>1857.0000000000002</v>
      </c>
      <c r="L233" s="24">
        <f t="shared" si="46"/>
        <v>1857.0000000000002</v>
      </c>
      <c r="M233" s="24">
        <f t="shared" si="46"/>
        <v>1857.0000000000002</v>
      </c>
      <c r="N233" s="24">
        <f t="shared" si="46"/>
        <v>1857.0000000000002</v>
      </c>
      <c r="O233" s="24">
        <f t="shared" si="46"/>
        <v>1857.0000000000002</v>
      </c>
      <c r="P233" s="24">
        <f t="shared" si="46"/>
        <v>1857.0000000000002</v>
      </c>
    </row>
    <row r="234" spans="1:16" x14ac:dyDescent="0.25">
      <c r="A234" s="12" t="s">
        <v>3</v>
      </c>
      <c r="B234" s="9"/>
      <c r="D234" s="292" t="s">
        <v>22</v>
      </c>
      <c r="E234" s="24">
        <f t="shared" ref="E234:P234" si="47">E140+E32</f>
        <v>1932.0000000000002</v>
      </c>
      <c r="F234" s="24">
        <f t="shared" si="47"/>
        <v>1932.0000000000002</v>
      </c>
      <c r="G234" s="24">
        <f t="shared" si="47"/>
        <v>1932.0000000000002</v>
      </c>
      <c r="H234" s="24">
        <f t="shared" si="47"/>
        <v>1932.0000000000002</v>
      </c>
      <c r="I234" s="24">
        <f t="shared" si="47"/>
        <v>1932.0000000000002</v>
      </c>
      <c r="J234" s="24">
        <f t="shared" si="47"/>
        <v>1932.0000000000002</v>
      </c>
      <c r="K234" s="24">
        <f t="shared" si="47"/>
        <v>1932.0000000000002</v>
      </c>
      <c r="L234" s="24">
        <f t="shared" si="47"/>
        <v>1932.0000000000002</v>
      </c>
      <c r="M234" s="24">
        <f t="shared" si="47"/>
        <v>1932.0000000000002</v>
      </c>
      <c r="N234" s="24">
        <f t="shared" si="47"/>
        <v>1932.0000000000002</v>
      </c>
      <c r="O234" s="24">
        <f t="shared" si="47"/>
        <v>1932.0000000000002</v>
      </c>
      <c r="P234" s="24">
        <f t="shared" si="47"/>
        <v>1932.0000000000002</v>
      </c>
    </row>
    <row r="235" spans="1:16" x14ac:dyDescent="0.25">
      <c r="A235" s="12" t="s">
        <v>4</v>
      </c>
      <c r="B235" s="9"/>
      <c r="D235" s="292" t="s">
        <v>22</v>
      </c>
      <c r="E235" s="24">
        <f t="shared" ref="E235:P235" si="48">E141+E33</f>
        <v>552</v>
      </c>
      <c r="F235" s="24">
        <f t="shared" si="48"/>
        <v>552</v>
      </c>
      <c r="G235" s="24">
        <f t="shared" si="48"/>
        <v>552</v>
      </c>
      <c r="H235" s="24">
        <f t="shared" si="48"/>
        <v>552</v>
      </c>
      <c r="I235" s="24">
        <f t="shared" si="48"/>
        <v>552</v>
      </c>
      <c r="J235" s="24">
        <f t="shared" si="48"/>
        <v>552</v>
      </c>
      <c r="K235" s="24">
        <f t="shared" si="48"/>
        <v>552</v>
      </c>
      <c r="L235" s="24">
        <f t="shared" si="48"/>
        <v>552</v>
      </c>
      <c r="M235" s="24">
        <f t="shared" si="48"/>
        <v>552</v>
      </c>
      <c r="N235" s="24">
        <f t="shared" si="48"/>
        <v>552</v>
      </c>
      <c r="O235" s="24">
        <f t="shared" si="48"/>
        <v>552</v>
      </c>
      <c r="P235" s="24">
        <f t="shared" si="48"/>
        <v>552</v>
      </c>
    </row>
    <row r="236" spans="1:16" x14ac:dyDescent="0.25">
      <c r="A236" s="12" t="s">
        <v>5</v>
      </c>
      <c r="B236" s="9"/>
      <c r="D236" s="292" t="s">
        <v>22</v>
      </c>
      <c r="E236" s="24">
        <f t="shared" ref="E236:P236" si="49">E142+E34</f>
        <v>138</v>
      </c>
      <c r="F236" s="24">
        <f t="shared" si="49"/>
        <v>138</v>
      </c>
      <c r="G236" s="24">
        <f t="shared" si="49"/>
        <v>138</v>
      </c>
      <c r="H236" s="24">
        <f t="shared" si="49"/>
        <v>138</v>
      </c>
      <c r="I236" s="24">
        <f t="shared" si="49"/>
        <v>138</v>
      </c>
      <c r="J236" s="24">
        <f t="shared" si="49"/>
        <v>138</v>
      </c>
      <c r="K236" s="24">
        <f t="shared" si="49"/>
        <v>138</v>
      </c>
      <c r="L236" s="24">
        <f t="shared" si="49"/>
        <v>138</v>
      </c>
      <c r="M236" s="24">
        <f t="shared" si="49"/>
        <v>138</v>
      </c>
      <c r="N236" s="24">
        <f t="shared" si="49"/>
        <v>138</v>
      </c>
      <c r="O236" s="24">
        <f t="shared" si="49"/>
        <v>138</v>
      </c>
      <c r="P236" s="24">
        <f t="shared" si="49"/>
        <v>138</v>
      </c>
    </row>
    <row r="237" spans="1:16" x14ac:dyDescent="0.25">
      <c r="A237" s="12" t="s">
        <v>6</v>
      </c>
      <c r="B237" s="9"/>
      <c r="D237" s="292" t="s">
        <v>22</v>
      </c>
      <c r="E237" s="24">
        <f t="shared" ref="E237:P237" si="50">E143+E35</f>
        <v>138</v>
      </c>
      <c r="F237" s="24">
        <f t="shared" si="50"/>
        <v>138</v>
      </c>
      <c r="G237" s="24">
        <f t="shared" si="50"/>
        <v>138</v>
      </c>
      <c r="H237" s="24">
        <f t="shared" si="50"/>
        <v>138</v>
      </c>
      <c r="I237" s="24">
        <f t="shared" si="50"/>
        <v>138</v>
      </c>
      <c r="J237" s="24">
        <f t="shared" si="50"/>
        <v>138</v>
      </c>
      <c r="K237" s="24">
        <f t="shared" si="50"/>
        <v>138</v>
      </c>
      <c r="L237" s="24">
        <f t="shared" si="50"/>
        <v>138</v>
      </c>
      <c r="M237" s="24">
        <f t="shared" si="50"/>
        <v>138</v>
      </c>
      <c r="N237" s="24">
        <f t="shared" si="50"/>
        <v>138</v>
      </c>
      <c r="O237" s="24">
        <f t="shared" si="50"/>
        <v>138</v>
      </c>
      <c r="P237" s="24">
        <f t="shared" si="50"/>
        <v>138</v>
      </c>
    </row>
    <row r="238" spans="1:16" x14ac:dyDescent="0.25">
      <c r="A238" s="12" t="s">
        <v>12</v>
      </c>
      <c r="B238" s="9"/>
      <c r="D238" s="292" t="s">
        <v>22</v>
      </c>
      <c r="E238" s="24">
        <f t="shared" ref="E238:G243" si="51">E144+E36</f>
        <v>1044</v>
      </c>
      <c r="F238" s="24">
        <f t="shared" si="51"/>
        <v>1044</v>
      </c>
      <c r="G238" s="24">
        <f t="shared" si="51"/>
        <v>1044</v>
      </c>
      <c r="H238" s="24">
        <f t="shared" ref="H238:P238" si="52">H144+H36</f>
        <v>1044</v>
      </c>
      <c r="I238" s="24">
        <f t="shared" si="52"/>
        <v>1044</v>
      </c>
      <c r="J238" s="24">
        <f t="shared" si="52"/>
        <v>1044</v>
      </c>
      <c r="K238" s="24">
        <f t="shared" si="52"/>
        <v>1044</v>
      </c>
      <c r="L238" s="24">
        <f t="shared" si="52"/>
        <v>1044</v>
      </c>
      <c r="M238" s="24">
        <f t="shared" si="52"/>
        <v>1044</v>
      </c>
      <c r="N238" s="24">
        <f t="shared" si="52"/>
        <v>1044</v>
      </c>
      <c r="O238" s="24">
        <f t="shared" si="52"/>
        <v>1044</v>
      </c>
      <c r="P238" s="24">
        <f t="shared" si="52"/>
        <v>1044</v>
      </c>
    </row>
    <row r="239" spans="1:16" x14ac:dyDescent="0.25">
      <c r="A239" s="12" t="s">
        <v>11</v>
      </c>
      <c r="B239" s="9"/>
      <c r="D239" s="292" t="s">
        <v>22</v>
      </c>
      <c r="E239" s="24">
        <f t="shared" si="51"/>
        <v>345</v>
      </c>
      <c r="F239" s="24">
        <f t="shared" si="51"/>
        <v>345</v>
      </c>
      <c r="G239" s="24">
        <f t="shared" si="51"/>
        <v>345</v>
      </c>
      <c r="H239" s="24">
        <f t="shared" ref="H239:P239" si="53">H145+H37</f>
        <v>345</v>
      </c>
      <c r="I239" s="24">
        <f t="shared" si="53"/>
        <v>345</v>
      </c>
      <c r="J239" s="24">
        <f t="shared" si="53"/>
        <v>345</v>
      </c>
      <c r="K239" s="24">
        <f t="shared" si="53"/>
        <v>345</v>
      </c>
      <c r="L239" s="24">
        <f t="shared" si="53"/>
        <v>345</v>
      </c>
      <c r="M239" s="24">
        <f t="shared" si="53"/>
        <v>345</v>
      </c>
      <c r="N239" s="24">
        <f t="shared" si="53"/>
        <v>345</v>
      </c>
      <c r="O239" s="24">
        <f t="shared" si="53"/>
        <v>345</v>
      </c>
      <c r="P239" s="24">
        <f t="shared" si="53"/>
        <v>345</v>
      </c>
    </row>
    <row r="240" spans="1:16" x14ac:dyDescent="0.25">
      <c r="A240" s="12" t="s">
        <v>7</v>
      </c>
      <c r="B240" s="9"/>
      <c r="D240" s="292" t="s">
        <v>22</v>
      </c>
      <c r="E240" s="24">
        <f t="shared" si="51"/>
        <v>1104</v>
      </c>
      <c r="F240" s="24">
        <f t="shared" si="51"/>
        <v>1104</v>
      </c>
      <c r="G240" s="24">
        <f t="shared" si="51"/>
        <v>1104</v>
      </c>
      <c r="H240" s="24">
        <f t="shared" ref="H240:P240" si="54">H146+H38</f>
        <v>1104</v>
      </c>
      <c r="I240" s="24">
        <f t="shared" si="54"/>
        <v>1104</v>
      </c>
      <c r="J240" s="24">
        <f t="shared" si="54"/>
        <v>1104</v>
      </c>
      <c r="K240" s="24">
        <f t="shared" si="54"/>
        <v>1104</v>
      </c>
      <c r="L240" s="24">
        <f t="shared" si="54"/>
        <v>1104</v>
      </c>
      <c r="M240" s="24">
        <f t="shared" si="54"/>
        <v>1104</v>
      </c>
      <c r="N240" s="24">
        <f t="shared" si="54"/>
        <v>1104</v>
      </c>
      <c r="O240" s="24">
        <f t="shared" si="54"/>
        <v>1104</v>
      </c>
      <c r="P240" s="24">
        <f t="shared" si="54"/>
        <v>1104</v>
      </c>
    </row>
    <row r="241" spans="1:17" x14ac:dyDescent="0.25">
      <c r="A241" s="12" t="s">
        <v>8</v>
      </c>
      <c r="B241" s="9"/>
      <c r="D241" s="292" t="s">
        <v>22</v>
      </c>
      <c r="E241" s="24">
        <f t="shared" si="51"/>
        <v>345</v>
      </c>
      <c r="F241" s="24">
        <f t="shared" si="51"/>
        <v>345</v>
      </c>
      <c r="G241" s="24">
        <f t="shared" si="51"/>
        <v>345</v>
      </c>
      <c r="H241" s="24">
        <f t="shared" ref="H241:P241" si="55">H147+H39</f>
        <v>345</v>
      </c>
      <c r="I241" s="24">
        <f t="shared" si="55"/>
        <v>345</v>
      </c>
      <c r="J241" s="24">
        <f t="shared" si="55"/>
        <v>345</v>
      </c>
      <c r="K241" s="24">
        <f t="shared" si="55"/>
        <v>345</v>
      </c>
      <c r="L241" s="24">
        <f t="shared" si="55"/>
        <v>345</v>
      </c>
      <c r="M241" s="24">
        <f t="shared" si="55"/>
        <v>345</v>
      </c>
      <c r="N241" s="24">
        <f t="shared" si="55"/>
        <v>345</v>
      </c>
      <c r="O241" s="24">
        <f t="shared" si="55"/>
        <v>345</v>
      </c>
      <c r="P241" s="24">
        <f t="shared" si="55"/>
        <v>345</v>
      </c>
    </row>
    <row r="242" spans="1:17" x14ac:dyDescent="0.25">
      <c r="A242" s="12" t="s">
        <v>9</v>
      </c>
      <c r="B242" s="9"/>
      <c r="D242" s="292" t="s">
        <v>22</v>
      </c>
      <c r="E242" s="24">
        <f t="shared" si="51"/>
        <v>1794</v>
      </c>
      <c r="F242" s="24">
        <f t="shared" si="51"/>
        <v>1794</v>
      </c>
      <c r="G242" s="24">
        <f t="shared" si="51"/>
        <v>1794</v>
      </c>
      <c r="H242" s="24">
        <f t="shared" ref="H242:P242" si="56">H148+H40</f>
        <v>1794</v>
      </c>
      <c r="I242" s="24">
        <f t="shared" si="56"/>
        <v>1794</v>
      </c>
      <c r="J242" s="24">
        <f t="shared" si="56"/>
        <v>1794</v>
      </c>
      <c r="K242" s="24">
        <f t="shared" si="56"/>
        <v>1794</v>
      </c>
      <c r="L242" s="24">
        <f t="shared" si="56"/>
        <v>1794</v>
      </c>
      <c r="M242" s="24">
        <f t="shared" si="56"/>
        <v>1794</v>
      </c>
      <c r="N242" s="24">
        <f t="shared" si="56"/>
        <v>1794</v>
      </c>
      <c r="O242" s="24">
        <f t="shared" si="56"/>
        <v>1794</v>
      </c>
      <c r="P242" s="24">
        <f t="shared" si="56"/>
        <v>1794</v>
      </c>
    </row>
    <row r="243" spans="1:17" x14ac:dyDescent="0.25">
      <c r="A243" s="12" t="s">
        <v>10</v>
      </c>
      <c r="B243" s="9"/>
      <c r="D243" s="292" t="s">
        <v>22</v>
      </c>
      <c r="E243" s="24">
        <f t="shared" si="51"/>
        <v>69</v>
      </c>
      <c r="F243" s="24">
        <f t="shared" si="51"/>
        <v>69</v>
      </c>
      <c r="G243" s="24">
        <f t="shared" si="51"/>
        <v>69</v>
      </c>
      <c r="H243" s="24">
        <f t="shared" ref="H243:P243" si="57">H149+H41</f>
        <v>69</v>
      </c>
      <c r="I243" s="24">
        <f t="shared" si="57"/>
        <v>69</v>
      </c>
      <c r="J243" s="24">
        <f t="shared" si="57"/>
        <v>69</v>
      </c>
      <c r="K243" s="24">
        <f t="shared" si="57"/>
        <v>69</v>
      </c>
      <c r="L243" s="24">
        <f t="shared" si="57"/>
        <v>69</v>
      </c>
      <c r="M243" s="24">
        <f t="shared" si="57"/>
        <v>69</v>
      </c>
      <c r="N243" s="24">
        <f t="shared" si="57"/>
        <v>69</v>
      </c>
      <c r="O243" s="24">
        <f t="shared" si="57"/>
        <v>69</v>
      </c>
      <c r="P243" s="24">
        <f t="shared" si="57"/>
        <v>69</v>
      </c>
    </row>
    <row r="244" spans="1:17" x14ac:dyDescent="0.25">
      <c r="E244" s="23"/>
      <c r="F244" s="23"/>
      <c r="G244" s="23"/>
      <c r="H244" s="23"/>
      <c r="I244" s="23"/>
      <c r="J244" s="23"/>
      <c r="K244" s="23"/>
      <c r="L244" s="23"/>
      <c r="M244" s="23"/>
      <c r="N244" s="23"/>
      <c r="O244" s="23"/>
      <c r="P244" s="23"/>
    </row>
    <row r="245" spans="1:17" ht="23.25" x14ac:dyDescent="0.35">
      <c r="A245" s="451" t="s">
        <v>216</v>
      </c>
      <c r="B245" s="10"/>
      <c r="C245" s="10"/>
      <c r="D245" s="291"/>
      <c r="E245" s="24"/>
      <c r="F245" s="24"/>
      <c r="G245" s="24"/>
      <c r="H245" s="24"/>
      <c r="I245" s="24"/>
      <c r="J245" s="24"/>
      <c r="K245" s="24"/>
      <c r="L245" s="24"/>
      <c r="M245" s="24"/>
      <c r="N245" s="24"/>
      <c r="O245" s="24"/>
      <c r="P245" s="24"/>
    </row>
    <row r="246" spans="1:17" ht="23.25" x14ac:dyDescent="0.35">
      <c r="A246" s="146" t="str">
        <f>A12</f>
        <v>малки населени места (до 3000 жители)</v>
      </c>
      <c r="B246" s="147"/>
      <c r="C246" s="147"/>
      <c r="D246" s="298"/>
      <c r="E246" s="147"/>
      <c r="F246" s="147"/>
      <c r="G246" s="147"/>
      <c r="H246" s="147"/>
      <c r="I246" s="147"/>
      <c r="J246" s="147"/>
      <c r="K246" s="147"/>
      <c r="L246" s="147"/>
      <c r="M246" s="147"/>
      <c r="N246" s="147"/>
      <c r="O246" s="147"/>
      <c r="P246" s="147"/>
      <c r="Q246" s="11"/>
    </row>
    <row r="247" spans="1:17" x14ac:dyDescent="0.25">
      <c r="A247" s="4"/>
      <c r="C247" s="4"/>
      <c r="D247" s="79"/>
      <c r="E247" s="23"/>
      <c r="F247" s="23"/>
      <c r="G247" s="23"/>
      <c r="H247" s="23"/>
      <c r="I247" s="23"/>
      <c r="J247" s="23"/>
      <c r="K247" s="23"/>
      <c r="L247" s="23"/>
      <c r="M247" s="23"/>
      <c r="N247" s="23"/>
      <c r="O247" s="23"/>
      <c r="P247" s="23"/>
    </row>
    <row r="248" spans="1:17" ht="30" x14ac:dyDescent="0.25">
      <c r="A248" s="148" t="s">
        <v>16</v>
      </c>
      <c r="C248" s="4"/>
      <c r="D248" s="21" t="s">
        <v>19</v>
      </c>
      <c r="E248" s="15">
        <f t="shared" ref="E248:P248" si="58">E249/E7</f>
        <v>1</v>
      </c>
      <c r="F248" s="15">
        <f t="shared" si="58"/>
        <v>1</v>
      </c>
      <c r="G248" s="15">
        <f t="shared" si="58"/>
        <v>1</v>
      </c>
      <c r="H248" s="15">
        <f t="shared" si="58"/>
        <v>1</v>
      </c>
      <c r="I248" s="15">
        <f t="shared" si="58"/>
        <v>1</v>
      </c>
      <c r="J248" s="15">
        <f t="shared" si="58"/>
        <v>1</v>
      </c>
      <c r="K248" s="15">
        <f t="shared" si="58"/>
        <v>1</v>
      </c>
      <c r="L248" s="15">
        <f t="shared" si="58"/>
        <v>1</v>
      </c>
      <c r="M248" s="15">
        <f t="shared" si="58"/>
        <v>1</v>
      </c>
      <c r="N248" s="15">
        <f t="shared" si="58"/>
        <v>1</v>
      </c>
      <c r="O248" s="15">
        <f t="shared" si="58"/>
        <v>1</v>
      </c>
      <c r="P248" s="15">
        <f t="shared" si="58"/>
        <v>1</v>
      </c>
    </row>
    <row r="249" spans="1:17" x14ac:dyDescent="0.25">
      <c r="A249" s="22"/>
      <c r="C249" s="6"/>
      <c r="D249" s="21" t="s">
        <v>129</v>
      </c>
      <c r="E249" s="24">
        <f>'Изходни данни'!C9</f>
        <v>10000</v>
      </c>
      <c r="F249" s="24">
        <f>'Изходни данни'!D9</f>
        <v>10000</v>
      </c>
      <c r="G249" s="24">
        <f>'Изходни данни'!E9</f>
        <v>10000</v>
      </c>
      <c r="H249" s="24">
        <f>'Изходни данни'!F9</f>
        <v>10000</v>
      </c>
      <c r="I249" s="24">
        <f>'Изходни данни'!G9</f>
        <v>10000</v>
      </c>
      <c r="J249" s="24">
        <f>'Изходни данни'!H9</f>
        <v>10000</v>
      </c>
      <c r="K249" s="24">
        <f>'Изходни данни'!I9</f>
        <v>10000</v>
      </c>
      <c r="L249" s="24">
        <f>'Изходни данни'!J9</f>
        <v>10000</v>
      </c>
      <c r="M249" s="24">
        <f>'Изходни данни'!K9</f>
        <v>10000</v>
      </c>
      <c r="N249" s="24">
        <f>'Изходни данни'!L9</f>
        <v>10000</v>
      </c>
      <c r="O249" s="24">
        <f>'Изходни данни'!M9</f>
        <v>10000</v>
      </c>
      <c r="P249" s="24">
        <f>'Изходни данни'!N9</f>
        <v>10000</v>
      </c>
    </row>
    <row r="250" spans="1:17" ht="30" x14ac:dyDescent="0.25">
      <c r="A250" s="148" t="s">
        <v>214</v>
      </c>
      <c r="C250" s="4"/>
      <c r="D250" s="21" t="s">
        <v>19</v>
      </c>
      <c r="E250" s="15">
        <f t="shared" ref="E250:P250" si="59">E251/E7</f>
        <v>0</v>
      </c>
      <c r="F250" s="15">
        <f t="shared" si="59"/>
        <v>0.3</v>
      </c>
      <c r="G250" s="15">
        <f t="shared" si="59"/>
        <v>0.3</v>
      </c>
      <c r="H250" s="15">
        <f t="shared" si="59"/>
        <v>0.3</v>
      </c>
      <c r="I250" s="15">
        <f t="shared" si="59"/>
        <v>0.3</v>
      </c>
      <c r="J250" s="15">
        <f t="shared" si="59"/>
        <v>0.3</v>
      </c>
      <c r="K250" s="15">
        <f t="shared" si="59"/>
        <v>0.3</v>
      </c>
      <c r="L250" s="15">
        <f t="shared" si="59"/>
        <v>0.3</v>
      </c>
      <c r="M250" s="15">
        <f t="shared" si="59"/>
        <v>0.3</v>
      </c>
      <c r="N250" s="15">
        <f t="shared" si="59"/>
        <v>0.3</v>
      </c>
      <c r="O250" s="15">
        <f t="shared" si="59"/>
        <v>0.3</v>
      </c>
      <c r="P250" s="15">
        <f t="shared" si="59"/>
        <v>0.3</v>
      </c>
    </row>
    <row r="251" spans="1:17" x14ac:dyDescent="0.25">
      <c r="A251" s="22"/>
      <c r="C251" s="6"/>
      <c r="D251" s="21" t="s">
        <v>129</v>
      </c>
      <c r="E251" s="24">
        <f>'Изходни данни'!C17</f>
        <v>0</v>
      </c>
      <c r="F251" s="24">
        <f>'Изходни данни'!D17</f>
        <v>3000</v>
      </c>
      <c r="G251" s="24">
        <f>'Изходни данни'!E17</f>
        <v>3000</v>
      </c>
      <c r="H251" s="24">
        <f>'Изходни данни'!F17</f>
        <v>3000</v>
      </c>
      <c r="I251" s="24">
        <f>'Изходни данни'!G17</f>
        <v>3000</v>
      </c>
      <c r="J251" s="24">
        <f>'Изходни данни'!H17</f>
        <v>3000</v>
      </c>
      <c r="K251" s="24">
        <f>'Изходни данни'!I17</f>
        <v>3000</v>
      </c>
      <c r="L251" s="24">
        <f>'Изходни данни'!J17</f>
        <v>3000</v>
      </c>
      <c r="M251" s="24">
        <f>'Изходни данни'!K17</f>
        <v>3000</v>
      </c>
      <c r="N251" s="24">
        <f>'Изходни данни'!L17</f>
        <v>3000</v>
      </c>
      <c r="O251" s="24">
        <f>'Изходни данни'!M17</f>
        <v>3000</v>
      </c>
      <c r="P251" s="24">
        <f>'Изходни данни'!N17</f>
        <v>3000</v>
      </c>
    </row>
    <row r="252" spans="1:17" x14ac:dyDescent="0.25">
      <c r="A252" s="148" t="s">
        <v>18</v>
      </c>
      <c r="C252" s="4"/>
      <c r="D252" s="21" t="s">
        <v>19</v>
      </c>
      <c r="E252" s="15">
        <f t="shared" ref="E252:P252" si="60">E253/E7</f>
        <v>0</v>
      </c>
      <c r="F252" s="15">
        <f t="shared" si="60"/>
        <v>0.5</v>
      </c>
      <c r="G252" s="15">
        <f t="shared" si="60"/>
        <v>0.5</v>
      </c>
      <c r="H252" s="15">
        <f t="shared" si="60"/>
        <v>0.5</v>
      </c>
      <c r="I252" s="15">
        <f t="shared" si="60"/>
        <v>0.5</v>
      </c>
      <c r="J252" s="15">
        <f t="shared" si="60"/>
        <v>0.5</v>
      </c>
      <c r="K252" s="15">
        <f t="shared" si="60"/>
        <v>0.5</v>
      </c>
      <c r="L252" s="15">
        <f t="shared" si="60"/>
        <v>0.5</v>
      </c>
      <c r="M252" s="15">
        <f t="shared" si="60"/>
        <v>0.5</v>
      </c>
      <c r="N252" s="15">
        <f t="shared" si="60"/>
        <v>0.5</v>
      </c>
      <c r="O252" s="15">
        <f t="shared" si="60"/>
        <v>0.5</v>
      </c>
      <c r="P252" s="15">
        <f t="shared" si="60"/>
        <v>0.5</v>
      </c>
    </row>
    <row r="253" spans="1:17" x14ac:dyDescent="0.25">
      <c r="A253" s="6"/>
      <c r="B253" s="6"/>
      <c r="C253" s="6"/>
      <c r="D253" s="21" t="s">
        <v>129</v>
      </c>
      <c r="E253" s="24">
        <f>'Изходни данни'!C14</f>
        <v>0</v>
      </c>
      <c r="F253" s="24">
        <f>'Изходни данни'!D14</f>
        <v>5000</v>
      </c>
      <c r="G253" s="24">
        <f>'Изходни данни'!E14</f>
        <v>5000</v>
      </c>
      <c r="H253" s="24">
        <f>'Изходни данни'!F14</f>
        <v>5000</v>
      </c>
      <c r="I253" s="24">
        <f>'Изходни данни'!G14</f>
        <v>5000</v>
      </c>
      <c r="J253" s="24">
        <f>'Изходни данни'!H14</f>
        <v>5000</v>
      </c>
      <c r="K253" s="24">
        <f>'Изходни данни'!I14</f>
        <v>5000</v>
      </c>
      <c r="L253" s="24">
        <f>'Изходни данни'!J14</f>
        <v>5000</v>
      </c>
      <c r="M253" s="24">
        <f>'Изходни данни'!K14</f>
        <v>5000</v>
      </c>
      <c r="N253" s="24">
        <f>'Изходни данни'!L14</f>
        <v>5000</v>
      </c>
      <c r="O253" s="24">
        <f>'Изходни данни'!M14</f>
        <v>5000</v>
      </c>
      <c r="P253" s="24">
        <f>'Изходни данни'!N14</f>
        <v>5000</v>
      </c>
    </row>
    <row r="254" spans="1:17" x14ac:dyDescent="0.25">
      <c r="A254" s="4"/>
      <c r="B254" s="4"/>
      <c r="C254" s="4"/>
      <c r="D254" s="79"/>
      <c r="E254" s="23"/>
      <c r="F254" s="23"/>
      <c r="G254" s="23"/>
      <c r="H254" s="23"/>
      <c r="I254" s="23"/>
      <c r="J254" s="23"/>
      <c r="K254" s="23"/>
      <c r="L254" s="23"/>
      <c r="M254" s="23"/>
      <c r="N254" s="23"/>
      <c r="O254" s="23"/>
      <c r="P254" s="23"/>
    </row>
    <row r="255" spans="1:17" x14ac:dyDescent="0.25">
      <c r="A255" s="149" t="str">
        <f>'Изходни данни'!A60</f>
        <v>Цели за разделно събиране за отпадъците от домакинствата, % от образуваните отпадъци от обхванатото население</v>
      </c>
      <c r="B255" s="12"/>
      <c r="C255" s="14"/>
      <c r="D255" s="292"/>
      <c r="E255" s="30"/>
      <c r="F255" s="30"/>
      <c r="G255" s="30"/>
      <c r="H255" s="30"/>
      <c r="I255" s="30"/>
      <c r="J255" s="30"/>
      <c r="K255" s="30"/>
      <c r="L255" s="30"/>
      <c r="M255" s="30"/>
      <c r="N255" s="30"/>
      <c r="O255" s="30"/>
      <c r="P255" s="30"/>
      <c r="Q255" s="21"/>
    </row>
    <row r="256" spans="1:17" x14ac:dyDescent="0.25">
      <c r="A256" s="7" t="s">
        <v>0</v>
      </c>
      <c r="B256" s="9"/>
      <c r="C256" s="14"/>
      <c r="D256" s="292" t="s">
        <v>19</v>
      </c>
      <c r="E256" s="30">
        <f>'Изходни данни'!C61</f>
        <v>0.4</v>
      </c>
      <c r="F256" s="30">
        <f>'Изходни данни'!D61</f>
        <v>0.4</v>
      </c>
      <c r="G256" s="30">
        <f>'Изходни данни'!E61</f>
        <v>0.4</v>
      </c>
      <c r="H256" s="30">
        <f>'Изходни данни'!F61</f>
        <v>0.4</v>
      </c>
      <c r="I256" s="30">
        <f>'Изходни данни'!G61</f>
        <v>0.4</v>
      </c>
      <c r="J256" s="30">
        <f>'Изходни данни'!H61</f>
        <v>0.4</v>
      </c>
      <c r="K256" s="30">
        <f>'Изходни данни'!I61</f>
        <v>0.4</v>
      </c>
      <c r="L256" s="30">
        <f>'Изходни данни'!J61</f>
        <v>0.4</v>
      </c>
      <c r="M256" s="30">
        <f>'Изходни данни'!K61</f>
        <v>0.4</v>
      </c>
      <c r="N256" s="30">
        <f>'Изходни данни'!L61</f>
        <v>0.4</v>
      </c>
      <c r="O256" s="30">
        <f>'Изходни данни'!M61</f>
        <v>0.4</v>
      </c>
      <c r="P256" s="30">
        <f>'Изходни данни'!N61</f>
        <v>0.4</v>
      </c>
      <c r="Q256" s="21"/>
    </row>
    <row r="257" spans="1:17" x14ac:dyDescent="0.25">
      <c r="A257" s="5" t="s">
        <v>1</v>
      </c>
      <c r="B257" s="14">
        <f>'Изходни данни'!C78</f>
        <v>0.4</v>
      </c>
      <c r="C257" s="448" t="s">
        <v>212</v>
      </c>
      <c r="D257" s="292" t="s">
        <v>19</v>
      </c>
      <c r="E257" s="30">
        <f>'Изходни данни'!C62</f>
        <v>0.7</v>
      </c>
      <c r="F257" s="30">
        <f>'Изходни данни'!D62</f>
        <v>0.7</v>
      </c>
      <c r="G257" s="30">
        <f>'Изходни данни'!E62</f>
        <v>0.7</v>
      </c>
      <c r="H257" s="30">
        <f>'Изходни данни'!F62</f>
        <v>0.7</v>
      </c>
      <c r="I257" s="30">
        <f>'Изходни данни'!G62</f>
        <v>0.7</v>
      </c>
      <c r="J257" s="30">
        <f>'Изходни данни'!H62</f>
        <v>0.7</v>
      </c>
      <c r="K257" s="30">
        <f>'Изходни данни'!I62</f>
        <v>0.7</v>
      </c>
      <c r="L257" s="30">
        <f>'Изходни данни'!J62</f>
        <v>0.7</v>
      </c>
      <c r="M257" s="30">
        <f>'Изходни данни'!K62</f>
        <v>0.7</v>
      </c>
      <c r="N257" s="30">
        <f>'Изходни данни'!L62</f>
        <v>0.7</v>
      </c>
      <c r="O257" s="30">
        <f>'Изходни данни'!M62</f>
        <v>0.7</v>
      </c>
      <c r="P257" s="30">
        <f>'Изходни данни'!N62</f>
        <v>0.7</v>
      </c>
      <c r="Q257" s="21"/>
    </row>
    <row r="258" spans="1:17" x14ac:dyDescent="0.25">
      <c r="A258" s="5" t="s">
        <v>2</v>
      </c>
      <c r="B258" s="14">
        <f>'Изходни данни'!C79</f>
        <v>0.95</v>
      </c>
      <c r="C258" s="448" t="s">
        <v>212</v>
      </c>
      <c r="D258" s="292" t="s">
        <v>19</v>
      </c>
      <c r="E258" s="30">
        <f>'Изходни данни'!C63</f>
        <v>0.8</v>
      </c>
      <c r="F258" s="30">
        <f>'Изходни данни'!D63</f>
        <v>0.8</v>
      </c>
      <c r="G258" s="30">
        <f>'Изходни данни'!E63</f>
        <v>0.8</v>
      </c>
      <c r="H258" s="30">
        <f>'Изходни данни'!F63</f>
        <v>0.8</v>
      </c>
      <c r="I258" s="30">
        <f>'Изходни данни'!G63</f>
        <v>0.8</v>
      </c>
      <c r="J258" s="30">
        <f>'Изходни данни'!H63</f>
        <v>0.8</v>
      </c>
      <c r="K258" s="30">
        <f>'Изходни данни'!I63</f>
        <v>0.8</v>
      </c>
      <c r="L258" s="30">
        <f>'Изходни данни'!J63</f>
        <v>0.8</v>
      </c>
      <c r="M258" s="30">
        <f>'Изходни данни'!K63</f>
        <v>0.8</v>
      </c>
      <c r="N258" s="30">
        <f>'Изходни данни'!L63</f>
        <v>0.8</v>
      </c>
      <c r="O258" s="30">
        <f>'Изходни данни'!M63</f>
        <v>0.8</v>
      </c>
      <c r="P258" s="30">
        <f>'Изходни данни'!N63</f>
        <v>0.8</v>
      </c>
      <c r="Q258" s="21"/>
    </row>
    <row r="259" spans="1:17" x14ac:dyDescent="0.25">
      <c r="A259" s="5" t="s">
        <v>3</v>
      </c>
      <c r="B259" s="14">
        <f>'Изходни данни'!C80</f>
        <v>0.95</v>
      </c>
      <c r="C259" s="448" t="s">
        <v>212</v>
      </c>
      <c r="D259" s="292" t="s">
        <v>19</v>
      </c>
      <c r="E259" s="30">
        <f>'Изходни данни'!C64</f>
        <v>0.5</v>
      </c>
      <c r="F259" s="30">
        <f>'Изходни данни'!D64</f>
        <v>0.5</v>
      </c>
      <c r="G259" s="30">
        <f>'Изходни данни'!E64</f>
        <v>0.5</v>
      </c>
      <c r="H259" s="30">
        <f>'Изходни данни'!F64</f>
        <v>0.5</v>
      </c>
      <c r="I259" s="30">
        <f>'Изходни данни'!G64</f>
        <v>0.5</v>
      </c>
      <c r="J259" s="30">
        <f>'Изходни данни'!H64</f>
        <v>0.5</v>
      </c>
      <c r="K259" s="30">
        <f>'Изходни данни'!I64</f>
        <v>0.5</v>
      </c>
      <c r="L259" s="30">
        <f>'Изходни данни'!J64</f>
        <v>0.5</v>
      </c>
      <c r="M259" s="30">
        <f>'Изходни данни'!K64</f>
        <v>0.5</v>
      </c>
      <c r="N259" s="30">
        <f>'Изходни данни'!L64</f>
        <v>0.5</v>
      </c>
      <c r="O259" s="30">
        <f>'Изходни данни'!M64</f>
        <v>0.5</v>
      </c>
      <c r="P259" s="30">
        <f>'Изходни данни'!N64</f>
        <v>0.5</v>
      </c>
      <c r="Q259" s="21"/>
    </row>
    <row r="260" spans="1:17" x14ac:dyDescent="0.25">
      <c r="A260" s="5" t="s">
        <v>12</v>
      </c>
      <c r="B260" s="14">
        <v>0</v>
      </c>
      <c r="C260" s="448" t="s">
        <v>212</v>
      </c>
      <c r="D260" s="292" t="s">
        <v>19</v>
      </c>
      <c r="E260" s="30">
        <f>'Изходни данни'!C65</f>
        <v>0.8</v>
      </c>
      <c r="F260" s="30">
        <f>'Изходни данни'!D65</f>
        <v>0.8</v>
      </c>
      <c r="G260" s="30">
        <f>'Изходни данни'!E65</f>
        <v>0.8</v>
      </c>
      <c r="H260" s="30">
        <f>'Изходни данни'!F65</f>
        <v>0.8</v>
      </c>
      <c r="I260" s="30">
        <f>'Изходни данни'!G65</f>
        <v>0.8</v>
      </c>
      <c r="J260" s="30">
        <f>'Изходни данни'!H65</f>
        <v>0.8</v>
      </c>
      <c r="K260" s="30">
        <f>'Изходни данни'!I65</f>
        <v>0.8</v>
      </c>
      <c r="L260" s="30">
        <f>'Изходни данни'!J65</f>
        <v>0.8</v>
      </c>
      <c r="M260" s="30">
        <f>'Изходни данни'!K65</f>
        <v>0.8</v>
      </c>
      <c r="N260" s="30">
        <f>'Изходни данни'!L65</f>
        <v>0.8</v>
      </c>
      <c r="O260" s="30">
        <f>'Изходни данни'!M65</f>
        <v>0.8</v>
      </c>
      <c r="P260" s="30">
        <f>'Изходни данни'!N65</f>
        <v>0.8</v>
      </c>
      <c r="Q260" s="21"/>
    </row>
    <row r="261" spans="1:17" x14ac:dyDescent="0.25">
      <c r="A261" s="5" t="s">
        <v>7</v>
      </c>
      <c r="B261" s="14">
        <f>'Изходни данни'!C81</f>
        <v>1</v>
      </c>
      <c r="C261" s="448" t="s">
        <v>212</v>
      </c>
      <c r="D261" s="292" t="s">
        <v>19</v>
      </c>
      <c r="E261" s="30">
        <f>'Изходни данни'!C66</f>
        <v>0.75</v>
      </c>
      <c r="F261" s="30">
        <f>'Изходни данни'!D66</f>
        <v>0.75</v>
      </c>
      <c r="G261" s="30">
        <f>'Изходни данни'!E66</f>
        <v>0.75</v>
      </c>
      <c r="H261" s="30">
        <f>'Изходни данни'!F66</f>
        <v>0.75</v>
      </c>
      <c r="I261" s="30">
        <f>'Изходни данни'!G66</f>
        <v>0.75</v>
      </c>
      <c r="J261" s="30">
        <f>'Изходни данни'!H66</f>
        <v>0.75</v>
      </c>
      <c r="K261" s="30">
        <f>'Изходни данни'!I66</f>
        <v>0.75</v>
      </c>
      <c r="L261" s="30">
        <f>'Изходни данни'!J66</f>
        <v>0.75</v>
      </c>
      <c r="M261" s="30">
        <f>'Изходни данни'!K66</f>
        <v>0.75</v>
      </c>
      <c r="N261" s="30">
        <f>'Изходни данни'!L66</f>
        <v>0.75</v>
      </c>
      <c r="O261" s="30">
        <f>'Изходни данни'!M66</f>
        <v>0.75</v>
      </c>
      <c r="P261" s="30">
        <f>'Изходни данни'!N66</f>
        <v>0.75</v>
      </c>
      <c r="Q261" s="21"/>
    </row>
    <row r="262" spans="1:17" x14ac:dyDescent="0.25">
      <c r="A262" s="5" t="s">
        <v>8</v>
      </c>
      <c r="B262" s="14">
        <f>'Изходни данни'!C82</f>
        <v>0.9</v>
      </c>
      <c r="C262" s="448" t="s">
        <v>212</v>
      </c>
      <c r="D262" s="292" t="s">
        <v>19</v>
      </c>
      <c r="E262" s="30">
        <f>'Изходни данни'!C67</f>
        <v>0.75</v>
      </c>
      <c r="F262" s="30">
        <f>'Изходни данни'!D67</f>
        <v>0.75</v>
      </c>
      <c r="G262" s="30">
        <f>'Изходни данни'!E67</f>
        <v>0.75</v>
      </c>
      <c r="H262" s="30">
        <f>'Изходни данни'!F67</f>
        <v>0.75</v>
      </c>
      <c r="I262" s="30">
        <f>'Изходни данни'!G67</f>
        <v>0.75</v>
      </c>
      <c r="J262" s="30">
        <f>'Изходни данни'!H67</f>
        <v>0.75</v>
      </c>
      <c r="K262" s="30">
        <f>'Изходни данни'!I67</f>
        <v>0.75</v>
      </c>
      <c r="L262" s="30">
        <f>'Изходни данни'!J67</f>
        <v>0.75</v>
      </c>
      <c r="M262" s="30">
        <f>'Изходни данни'!K67</f>
        <v>0.75</v>
      </c>
      <c r="N262" s="30">
        <f>'Изходни данни'!L67</f>
        <v>0.75</v>
      </c>
      <c r="O262" s="30">
        <f>'Изходни данни'!M67</f>
        <v>0.75</v>
      </c>
      <c r="P262" s="30">
        <f>'Изходни данни'!N67</f>
        <v>0.75</v>
      </c>
      <c r="Q262" s="21"/>
    </row>
    <row r="263" spans="1:17" x14ac:dyDescent="0.25">
      <c r="A263" s="9"/>
      <c r="B263" s="4"/>
      <c r="C263" s="4"/>
      <c r="D263" s="79"/>
      <c r="E263" s="23"/>
      <c r="F263" s="23"/>
      <c r="G263" s="23"/>
      <c r="H263" s="23"/>
      <c r="I263" s="23"/>
      <c r="J263" s="23"/>
      <c r="K263" s="23"/>
      <c r="L263" s="23"/>
      <c r="M263" s="23"/>
      <c r="N263" s="23"/>
      <c r="O263" s="23"/>
      <c r="P263" s="23"/>
    </row>
    <row r="264" spans="1:17" x14ac:dyDescent="0.25">
      <c r="A264" s="149" t="s">
        <v>210</v>
      </c>
      <c r="B264" s="12">
        <f>Допускания!C5</f>
        <v>3</v>
      </c>
      <c r="C264" s="14"/>
      <c r="E264" s="24"/>
      <c r="F264" s="24"/>
      <c r="G264" s="24"/>
      <c r="H264" s="24"/>
      <c r="I264" s="24"/>
      <c r="J264" s="24"/>
      <c r="K264" s="24"/>
      <c r="L264" s="24"/>
      <c r="M264" s="24"/>
      <c r="N264" s="24"/>
      <c r="O264" s="24"/>
      <c r="P264" s="24"/>
      <c r="Q264" s="21"/>
    </row>
    <row r="265" spans="1:17" x14ac:dyDescent="0.25">
      <c r="A265" s="4"/>
      <c r="B265" s="12"/>
      <c r="C265" s="14"/>
      <c r="D265" s="292"/>
      <c r="E265" s="24"/>
      <c r="F265" s="24"/>
      <c r="G265" s="24"/>
      <c r="H265" s="24"/>
      <c r="I265" s="24"/>
      <c r="J265" s="24"/>
      <c r="K265" s="24"/>
      <c r="L265" s="24"/>
      <c r="M265" s="24"/>
      <c r="N265" s="24"/>
      <c r="O265" s="24"/>
      <c r="P265" s="24"/>
      <c r="Q265" s="21"/>
    </row>
    <row r="266" spans="1:17" x14ac:dyDescent="0.25">
      <c r="A266" s="149" t="s">
        <v>96</v>
      </c>
      <c r="B266" s="12"/>
      <c r="C266" s="14"/>
      <c r="D266" s="292"/>
      <c r="E266" s="24"/>
      <c r="F266" s="24"/>
      <c r="G266" s="24"/>
      <c r="H266" s="24"/>
      <c r="I266" s="24"/>
      <c r="J266" s="24"/>
      <c r="K266" s="24"/>
      <c r="L266" s="24"/>
      <c r="M266" s="24"/>
      <c r="N266" s="24"/>
      <c r="O266" s="24"/>
      <c r="P266" s="24"/>
      <c r="Q266" s="21"/>
    </row>
    <row r="267" spans="1:17" x14ac:dyDescent="0.25">
      <c r="A267" s="3" t="s">
        <v>97</v>
      </c>
      <c r="B267" s="12"/>
      <c r="C267" s="14"/>
      <c r="D267" s="292" t="s">
        <v>22</v>
      </c>
      <c r="E267" s="24">
        <f t="shared" ref="E267:L267" si="61">E270+E280</f>
        <v>393.96375</v>
      </c>
      <c r="F267" s="24">
        <f t="shared" si="61"/>
        <v>393.96375</v>
      </c>
      <c r="G267" s="24">
        <f t="shared" si="61"/>
        <v>393.96375</v>
      </c>
      <c r="H267" s="24">
        <f t="shared" si="61"/>
        <v>393.96375</v>
      </c>
      <c r="I267" s="24">
        <f t="shared" si="61"/>
        <v>393.96375</v>
      </c>
      <c r="J267" s="24">
        <f t="shared" si="61"/>
        <v>393.96375</v>
      </c>
      <c r="K267" s="24">
        <f t="shared" si="61"/>
        <v>393.96375</v>
      </c>
      <c r="L267" s="24">
        <f t="shared" si="61"/>
        <v>393.96375</v>
      </c>
      <c r="M267" s="24">
        <f>M270+M280</f>
        <v>393.96375</v>
      </c>
      <c r="N267" s="24">
        <f>N270+N280</f>
        <v>393.96375</v>
      </c>
      <c r="O267" s="24">
        <f>O270+O280</f>
        <v>393.96375</v>
      </c>
      <c r="P267" s="24">
        <f>P270+P280</f>
        <v>393.96375</v>
      </c>
      <c r="Q267" s="21"/>
    </row>
    <row r="268" spans="1:17" ht="30" x14ac:dyDescent="0.25">
      <c r="A268" s="3" t="s">
        <v>137</v>
      </c>
      <c r="B268" s="12"/>
      <c r="C268" s="14"/>
      <c r="D268" s="292" t="s">
        <v>157</v>
      </c>
      <c r="E268" s="31">
        <f>IF(E267=0,0,(E271*$C271+E272*$C272+E273*$C273+E274*$C274+E275*$C275+E276*$C276+E277*$C277+E278*$C278+E280*$C280)/E267)</f>
        <v>6.8187269767840314E-2</v>
      </c>
      <c r="F268" s="31">
        <f t="shared" ref="F268:L268" si="62">IF(F267=0,0,(F271*$C271+F272*$C272+F273*$C273+F274*$C274+F275*$C275+F276*$C276+F277*$C277+F278*$C278+F280*$C280)/F267)</f>
        <v>6.8187269767840314E-2</v>
      </c>
      <c r="G268" s="31">
        <f t="shared" si="62"/>
        <v>6.8187269767840314E-2</v>
      </c>
      <c r="H268" s="31">
        <f t="shared" si="62"/>
        <v>6.8187269767840314E-2</v>
      </c>
      <c r="I268" s="31">
        <f t="shared" si="62"/>
        <v>6.8187269767840314E-2</v>
      </c>
      <c r="J268" s="31">
        <f t="shared" si="62"/>
        <v>6.8187269767840314E-2</v>
      </c>
      <c r="K268" s="31">
        <f t="shared" si="62"/>
        <v>6.8187269767840314E-2</v>
      </c>
      <c r="L268" s="31">
        <f t="shared" si="62"/>
        <v>6.8187269767840314E-2</v>
      </c>
      <c r="M268" s="31">
        <f>IF(M267=0,0,(M271*$C271+M272*$C272+M273*$C273+M274*$C274+M275*$C275+M276*$C276+M277*$C277+M278*$C278+M280*$C280)/M267)</f>
        <v>6.8187269767840314E-2</v>
      </c>
      <c r="N268" s="31">
        <f>IF(N267=0,0,(N271*$C271+N272*$C272+N273*$C273+N274*$C274+N275*$C275+N276*$C276+N277*$C277+N278*$C278+N280*$C280)/N267)</f>
        <v>6.8187269767840314E-2</v>
      </c>
      <c r="O268" s="31">
        <f>IF(O267=0,0,(O271*$C271+O272*$C272+O273*$C273+O274*$C274+O275*$C275+O276*$C276+O277*$C277+O278*$C278+O280*$C280)/O267)</f>
        <v>6.8187269767840314E-2</v>
      </c>
      <c r="P268" s="31">
        <f>IF(P267=0,0,(P271*$C271+P272*$C272+P273*$C273+P274*$C274+P275*$C275+P276*$C276+P277*$C277+P278*$C278+P280*$C280)/P267)</f>
        <v>6.8187269767840314E-2</v>
      </c>
      <c r="Q268" s="21"/>
    </row>
    <row r="269" spans="1:17" x14ac:dyDescent="0.25">
      <c r="A269" s="3" t="s">
        <v>99</v>
      </c>
      <c r="B269" s="12"/>
      <c r="C269" s="14"/>
      <c r="D269" s="292" t="s">
        <v>158</v>
      </c>
      <c r="E269" s="24">
        <f t="shared" ref="E269:P269" si="63">IF(E249=0,0,E267*1000/E249)</f>
        <v>39.396374999999999</v>
      </c>
      <c r="F269" s="24">
        <f t="shared" si="63"/>
        <v>39.396374999999999</v>
      </c>
      <c r="G269" s="24">
        <f t="shared" si="63"/>
        <v>39.396374999999999</v>
      </c>
      <c r="H269" s="24">
        <f t="shared" si="63"/>
        <v>39.396374999999999</v>
      </c>
      <c r="I269" s="24">
        <f t="shared" si="63"/>
        <v>39.396374999999999</v>
      </c>
      <c r="J269" s="24">
        <f t="shared" si="63"/>
        <v>39.396374999999999</v>
      </c>
      <c r="K269" s="24">
        <f t="shared" si="63"/>
        <v>39.396374999999999</v>
      </c>
      <c r="L269" s="24">
        <f t="shared" si="63"/>
        <v>39.396374999999999</v>
      </c>
      <c r="M269" s="24">
        <f t="shared" si="63"/>
        <v>39.396374999999999</v>
      </c>
      <c r="N269" s="24">
        <f t="shared" si="63"/>
        <v>39.396374999999999</v>
      </c>
      <c r="O269" s="24">
        <f t="shared" si="63"/>
        <v>39.396374999999999</v>
      </c>
      <c r="P269" s="24">
        <f t="shared" si="63"/>
        <v>39.396374999999999</v>
      </c>
      <c r="Q269" s="21"/>
    </row>
    <row r="270" spans="1:17" x14ac:dyDescent="0.25">
      <c r="A270" s="3" t="s">
        <v>136</v>
      </c>
      <c r="B270" s="12"/>
      <c r="C270" s="14"/>
      <c r="D270" s="292" t="s">
        <v>22</v>
      </c>
      <c r="E270" s="24">
        <f t="shared" ref="E270:L270" si="64">SUM(E271:E278)</f>
        <v>291.82499999999999</v>
      </c>
      <c r="F270" s="24">
        <f t="shared" si="64"/>
        <v>291.82499999999999</v>
      </c>
      <c r="G270" s="24">
        <f t="shared" si="64"/>
        <v>291.82499999999999</v>
      </c>
      <c r="H270" s="24">
        <f t="shared" si="64"/>
        <v>291.82499999999999</v>
      </c>
      <c r="I270" s="24">
        <f t="shared" si="64"/>
        <v>291.82499999999999</v>
      </c>
      <c r="J270" s="24">
        <f t="shared" si="64"/>
        <v>291.82499999999999</v>
      </c>
      <c r="K270" s="24">
        <f t="shared" si="64"/>
        <v>291.82499999999999</v>
      </c>
      <c r="L270" s="24">
        <f t="shared" si="64"/>
        <v>291.82499999999999</v>
      </c>
      <c r="M270" s="24">
        <f>SUM(M271:M278)</f>
        <v>291.82499999999999</v>
      </c>
      <c r="N270" s="24">
        <f>SUM(N271:N278)</f>
        <v>291.82499999999999</v>
      </c>
      <c r="O270" s="24">
        <f>SUM(O271:O278)</f>
        <v>291.82499999999999</v>
      </c>
      <c r="P270" s="24">
        <f>SUM(P271:P278)</f>
        <v>291.82499999999999</v>
      </c>
      <c r="Q270" s="21"/>
    </row>
    <row r="271" spans="1:17" s="39" customFormat="1" x14ac:dyDescent="0.25">
      <c r="A271" s="34" t="s">
        <v>100</v>
      </c>
      <c r="B271" s="446" t="s">
        <v>211</v>
      </c>
      <c r="C271" s="444">
        <v>0.08</v>
      </c>
      <c r="D271" s="299" t="s">
        <v>22</v>
      </c>
      <c r="E271" s="37">
        <f t="shared" ref="E271:P271" si="65">IF($B$264=2,E249*((E105*E257*$B257)+(E258*$B258*E106))/1000,0)</f>
        <v>0</v>
      </c>
      <c r="F271" s="37">
        <f t="shared" si="65"/>
        <v>0</v>
      </c>
      <c r="G271" s="37">
        <f t="shared" si="65"/>
        <v>0</v>
      </c>
      <c r="H271" s="37">
        <f t="shared" si="65"/>
        <v>0</v>
      </c>
      <c r="I271" s="37">
        <f t="shared" si="65"/>
        <v>0</v>
      </c>
      <c r="J271" s="37">
        <f t="shared" si="65"/>
        <v>0</v>
      </c>
      <c r="K271" s="37">
        <f t="shared" si="65"/>
        <v>0</v>
      </c>
      <c r="L271" s="37">
        <f t="shared" si="65"/>
        <v>0</v>
      </c>
      <c r="M271" s="37">
        <f t="shared" si="65"/>
        <v>0</v>
      </c>
      <c r="N271" s="37">
        <f t="shared" si="65"/>
        <v>0</v>
      </c>
      <c r="O271" s="37">
        <f t="shared" si="65"/>
        <v>0</v>
      </c>
      <c r="P271" s="37">
        <f t="shared" si="65"/>
        <v>0</v>
      </c>
      <c r="Q271" s="38"/>
    </row>
    <row r="272" spans="1:17" s="39" customFormat="1" x14ac:dyDescent="0.25">
      <c r="A272" s="34" t="s">
        <v>101</v>
      </c>
      <c r="B272" s="446" t="s">
        <v>211</v>
      </c>
      <c r="C272" s="444">
        <v>0.08</v>
      </c>
      <c r="D272" s="299" t="s">
        <v>22</v>
      </c>
      <c r="E272" s="37">
        <f>IF($B$264=2,IF(E249=0,0,E45*'Изходни данни'!C70+E46*'Изходни данни'!C71),0)</f>
        <v>0</v>
      </c>
      <c r="F272" s="37">
        <f>IF($B$264=2,IF(F249=0,0,F45*'Изходни данни'!D70+F46*'Изходни данни'!D71),0)</f>
        <v>0</v>
      </c>
      <c r="G272" s="37">
        <f>IF($B$264=2,IF(G249=0,0,G45*'Изходни данни'!E70+G46*'Изходни данни'!E71),0)</f>
        <v>0</v>
      </c>
      <c r="H272" s="37">
        <f>IF($B$264=2,IF(H249=0,0,H45*'Изходни данни'!F70+H46*'Изходни данни'!F71),0)</f>
        <v>0</v>
      </c>
      <c r="I272" s="37">
        <f>IF($B$264=2,IF(I249=0,0,I45*'Изходни данни'!G70+I46*'Изходни данни'!G71),0)</f>
        <v>0</v>
      </c>
      <c r="J272" s="37">
        <f>IF($B$264=2,IF(J249=0,0,J45*'Изходни данни'!H70+J46*'Изходни данни'!H71),0)</f>
        <v>0</v>
      </c>
      <c r="K272" s="37">
        <f>IF($B$264=2,IF(K249=0,0,K45*'Изходни данни'!I70+K46*'Изходни данни'!I71),0)</f>
        <v>0</v>
      </c>
      <c r="L272" s="37">
        <f>IF($B$264=2,IF(L249=0,0,L45*'Изходни данни'!J70+L46*'Изходни данни'!J71),0)</f>
        <v>0</v>
      </c>
      <c r="M272" s="37">
        <f>IF($B$264=2,IF(M249=0,0,M45*'Изходни данни'!K70+M46*'Изходни данни'!K71),0)</f>
        <v>0</v>
      </c>
      <c r="N272" s="37">
        <f>IF($B$264=2,IF(N249=0,0,N45*'Изходни данни'!L70+N46*'Изходни данни'!L71),0)</f>
        <v>0</v>
      </c>
      <c r="O272" s="37">
        <f>IF($B$264=2,IF(O249=0,0,O45*'Изходни данни'!M70+O46*'Изходни данни'!M71),0)</f>
        <v>0</v>
      </c>
      <c r="P272" s="37">
        <f>IF($B$264=2,IF(P249=0,0,P45*'Изходни данни'!N70+P46*'Изходни данни'!N71),0)</f>
        <v>0</v>
      </c>
      <c r="Q272" s="38"/>
    </row>
    <row r="273" spans="1:17" s="39" customFormat="1" x14ac:dyDescent="0.25">
      <c r="A273" s="34" t="s">
        <v>102</v>
      </c>
      <c r="B273" s="446" t="s">
        <v>211</v>
      </c>
      <c r="C273" s="444">
        <v>0.08</v>
      </c>
      <c r="D273" s="299" t="s">
        <v>22</v>
      </c>
      <c r="E273" s="37">
        <f t="shared" ref="E273:P273" si="66">IF($B$264=2,E249*((E105*E257*(1-$B257))+(E258*(1-$B258)*E106))/1000,0)</f>
        <v>0</v>
      </c>
      <c r="F273" s="37">
        <f t="shared" si="66"/>
        <v>0</v>
      </c>
      <c r="G273" s="37">
        <f t="shared" si="66"/>
        <v>0</v>
      </c>
      <c r="H273" s="37">
        <f t="shared" si="66"/>
        <v>0</v>
      </c>
      <c r="I273" s="37">
        <f t="shared" si="66"/>
        <v>0</v>
      </c>
      <c r="J273" s="37">
        <f t="shared" si="66"/>
        <v>0</v>
      </c>
      <c r="K273" s="37">
        <f t="shared" si="66"/>
        <v>0</v>
      </c>
      <c r="L273" s="37">
        <f t="shared" si="66"/>
        <v>0</v>
      </c>
      <c r="M273" s="37">
        <f t="shared" si="66"/>
        <v>0</v>
      </c>
      <c r="N273" s="37">
        <f t="shared" si="66"/>
        <v>0</v>
      </c>
      <c r="O273" s="37">
        <f t="shared" si="66"/>
        <v>0</v>
      </c>
      <c r="P273" s="37">
        <f t="shared" si="66"/>
        <v>0</v>
      </c>
      <c r="Q273" s="38"/>
    </row>
    <row r="274" spans="1:17" s="39" customFormat="1" x14ac:dyDescent="0.25">
      <c r="A274" s="34" t="s">
        <v>103</v>
      </c>
      <c r="B274" s="446" t="s">
        <v>211</v>
      </c>
      <c r="C274" s="444">
        <v>2.5000000000000001E-2</v>
      </c>
      <c r="D274" s="299" t="s">
        <v>22</v>
      </c>
      <c r="E274" s="37">
        <f t="shared" ref="E274:P274" si="67">E249*E107*E259*$B259/1000</f>
        <v>199.5</v>
      </c>
      <c r="F274" s="37">
        <f t="shared" si="67"/>
        <v>199.5</v>
      </c>
      <c r="G274" s="37">
        <f t="shared" si="67"/>
        <v>199.5</v>
      </c>
      <c r="H274" s="37">
        <f t="shared" si="67"/>
        <v>199.5</v>
      </c>
      <c r="I274" s="37">
        <f t="shared" si="67"/>
        <v>199.5</v>
      </c>
      <c r="J274" s="37">
        <f t="shared" si="67"/>
        <v>199.5</v>
      </c>
      <c r="K274" s="37">
        <f t="shared" si="67"/>
        <v>199.5</v>
      </c>
      <c r="L274" s="37">
        <f t="shared" si="67"/>
        <v>199.5</v>
      </c>
      <c r="M274" s="37">
        <f t="shared" si="67"/>
        <v>199.5</v>
      </c>
      <c r="N274" s="37">
        <f t="shared" si="67"/>
        <v>199.5</v>
      </c>
      <c r="O274" s="37">
        <f t="shared" si="67"/>
        <v>199.5</v>
      </c>
      <c r="P274" s="37">
        <f t="shared" si="67"/>
        <v>199.5</v>
      </c>
      <c r="Q274" s="38"/>
    </row>
    <row r="275" spans="1:17" s="39" customFormat="1" ht="30" x14ac:dyDescent="0.25">
      <c r="A275" s="34" t="s">
        <v>104</v>
      </c>
      <c r="B275" s="446" t="s">
        <v>211</v>
      </c>
      <c r="C275" s="444">
        <v>2.5000000000000001E-2</v>
      </c>
      <c r="D275" s="299" t="s">
        <v>22</v>
      </c>
      <c r="E275" s="37">
        <f>IF(E249=0,0,E47*'Изходни данни'!C72)</f>
        <v>25.200000000000003</v>
      </c>
      <c r="F275" s="37">
        <f>IF(F249=0,0,F47*'Изходни данни'!D72)</f>
        <v>25.200000000000003</v>
      </c>
      <c r="G275" s="37">
        <f>IF(G249=0,0,G47*'Изходни данни'!E72)</f>
        <v>25.200000000000003</v>
      </c>
      <c r="H275" s="37">
        <f>IF(H249=0,0,H47*'Изходни данни'!F72)</f>
        <v>25.200000000000003</v>
      </c>
      <c r="I275" s="37">
        <f>IF(I249=0,0,I47*'Изходни данни'!G72)</f>
        <v>25.200000000000003</v>
      </c>
      <c r="J275" s="37">
        <f>IF(J249=0,0,J47*'Изходни данни'!H72)</f>
        <v>25.200000000000003</v>
      </c>
      <c r="K275" s="37">
        <f>IF(K249=0,0,K47*'Изходни данни'!I72)</f>
        <v>25.200000000000003</v>
      </c>
      <c r="L275" s="37">
        <f>IF(L249=0,0,L47*'Изходни данни'!J72)</f>
        <v>25.200000000000003</v>
      </c>
      <c r="M275" s="37">
        <f>IF(M249=0,0,M47*'Изходни данни'!K72)</f>
        <v>25.200000000000003</v>
      </c>
      <c r="N275" s="37">
        <f>IF(N249=0,0,N47*'Изходни данни'!L72)</f>
        <v>25.200000000000003</v>
      </c>
      <c r="O275" s="37">
        <f>IF(O249=0,0,O47*'Изходни данни'!M72)</f>
        <v>25.200000000000003</v>
      </c>
      <c r="P275" s="37">
        <f>IF(P249=0,0,P47*'Изходни данни'!N72)</f>
        <v>25.200000000000003</v>
      </c>
      <c r="Q275" s="38"/>
    </row>
    <row r="276" spans="1:17" s="39" customFormat="1" x14ac:dyDescent="0.25">
      <c r="A276" s="34" t="s">
        <v>105</v>
      </c>
      <c r="B276" s="446" t="s">
        <v>211</v>
      </c>
      <c r="C276" s="444">
        <v>2.5000000000000001E-2</v>
      </c>
      <c r="D276" s="299" t="s">
        <v>22</v>
      </c>
      <c r="E276" s="37">
        <f t="shared" ref="E276:P276" si="68">E249*E107*E259*(1-$B259)/1000</f>
        <v>10.500000000000009</v>
      </c>
      <c r="F276" s="37">
        <f t="shared" si="68"/>
        <v>10.500000000000009</v>
      </c>
      <c r="G276" s="37">
        <f t="shared" si="68"/>
        <v>10.500000000000009</v>
      </c>
      <c r="H276" s="37">
        <f t="shared" si="68"/>
        <v>10.500000000000009</v>
      </c>
      <c r="I276" s="37">
        <f t="shared" si="68"/>
        <v>10.500000000000009</v>
      </c>
      <c r="J276" s="37">
        <f t="shared" si="68"/>
        <v>10.500000000000009</v>
      </c>
      <c r="K276" s="37">
        <f t="shared" si="68"/>
        <v>10.500000000000009</v>
      </c>
      <c r="L276" s="37">
        <f t="shared" si="68"/>
        <v>10.500000000000009</v>
      </c>
      <c r="M276" s="37">
        <f t="shared" si="68"/>
        <v>10.500000000000009</v>
      </c>
      <c r="N276" s="37">
        <f t="shared" si="68"/>
        <v>10.500000000000009</v>
      </c>
      <c r="O276" s="37">
        <f t="shared" si="68"/>
        <v>10.500000000000009</v>
      </c>
      <c r="P276" s="37">
        <f t="shared" si="68"/>
        <v>10.500000000000009</v>
      </c>
      <c r="Q276" s="38"/>
    </row>
    <row r="277" spans="1:17" s="39" customFormat="1" x14ac:dyDescent="0.25">
      <c r="A277" s="34" t="s">
        <v>106</v>
      </c>
      <c r="B277" s="446" t="s">
        <v>211</v>
      </c>
      <c r="C277" s="444">
        <v>0.1</v>
      </c>
      <c r="D277" s="299" t="s">
        <v>22</v>
      </c>
      <c r="E277" s="37">
        <f t="shared" ref="E277:P277" si="69">E249*E114*E262*$B262/1000</f>
        <v>50.625</v>
      </c>
      <c r="F277" s="37">
        <f t="shared" si="69"/>
        <v>50.625</v>
      </c>
      <c r="G277" s="37">
        <f t="shared" si="69"/>
        <v>50.625</v>
      </c>
      <c r="H277" s="37">
        <f t="shared" si="69"/>
        <v>50.625</v>
      </c>
      <c r="I277" s="37">
        <f t="shared" si="69"/>
        <v>50.625</v>
      </c>
      <c r="J277" s="37">
        <f t="shared" si="69"/>
        <v>50.625</v>
      </c>
      <c r="K277" s="37">
        <f t="shared" si="69"/>
        <v>50.625</v>
      </c>
      <c r="L277" s="37">
        <f t="shared" si="69"/>
        <v>50.625</v>
      </c>
      <c r="M277" s="37">
        <f t="shared" si="69"/>
        <v>50.625</v>
      </c>
      <c r="N277" s="37">
        <f t="shared" si="69"/>
        <v>50.625</v>
      </c>
      <c r="O277" s="37">
        <f t="shared" si="69"/>
        <v>50.625</v>
      </c>
      <c r="P277" s="37">
        <f t="shared" si="69"/>
        <v>50.625</v>
      </c>
      <c r="Q277" s="38"/>
    </row>
    <row r="278" spans="1:17" s="39" customFormat="1" ht="15.75" customHeight="1" x14ac:dyDescent="0.25">
      <c r="A278" s="34" t="s">
        <v>107</v>
      </c>
      <c r="B278" s="446" t="s">
        <v>211</v>
      </c>
      <c r="C278" s="444">
        <v>0.1</v>
      </c>
      <c r="D278" s="299" t="s">
        <v>22</v>
      </c>
      <c r="E278" s="37">
        <f>IF(E249=0,0,E54*'Изходни данни'!C74)</f>
        <v>6</v>
      </c>
      <c r="F278" s="37">
        <f>IF(F249=0,0,F54*'Изходни данни'!D74)</f>
        <v>6</v>
      </c>
      <c r="G278" s="37">
        <f>IF(G249=0,0,G54*'Изходни данни'!E74)</f>
        <v>6</v>
      </c>
      <c r="H278" s="37">
        <f>IF(H249=0,0,H54*'Изходни данни'!F74)</f>
        <v>6</v>
      </c>
      <c r="I278" s="37">
        <f>IF(I249=0,0,I54*'Изходни данни'!G74)</f>
        <v>6</v>
      </c>
      <c r="J278" s="37">
        <f>IF(J249=0,0,J54*'Изходни данни'!H74)</f>
        <v>6</v>
      </c>
      <c r="K278" s="37">
        <f>IF(K249=0,0,K54*'Изходни данни'!I74)</f>
        <v>6</v>
      </c>
      <c r="L278" s="37">
        <f>IF(L249=0,0,L54*'Изходни данни'!J74)</f>
        <v>6</v>
      </c>
      <c r="M278" s="37">
        <f>IF(M249=0,0,M54*'Изходни данни'!K74)</f>
        <v>6</v>
      </c>
      <c r="N278" s="37">
        <f>IF(N249=0,0,N54*'Изходни данни'!L74)</f>
        <v>6</v>
      </c>
      <c r="O278" s="37">
        <f>IF(O249=0,0,O54*'Изходни данни'!M74)</f>
        <v>6</v>
      </c>
      <c r="P278" s="37">
        <f>IF(P249=0,0,P54*'Изходни данни'!N74)</f>
        <v>6</v>
      </c>
      <c r="Q278" s="38"/>
    </row>
    <row r="279" spans="1:17" x14ac:dyDescent="0.25">
      <c r="A279" s="3" t="s">
        <v>94</v>
      </c>
      <c r="B279" s="5"/>
      <c r="C279" s="443"/>
      <c r="D279" s="292" t="s">
        <v>215</v>
      </c>
      <c r="E279" s="449">
        <f>'Изходни данни'!C85</f>
        <v>0.35</v>
      </c>
      <c r="F279" s="449">
        <f>'Изходни данни'!D85</f>
        <v>0.35</v>
      </c>
      <c r="G279" s="449">
        <f>'Изходни данни'!E85</f>
        <v>0.35</v>
      </c>
      <c r="H279" s="449">
        <f>'Изходни данни'!F85</f>
        <v>0.35</v>
      </c>
      <c r="I279" s="449">
        <f>'Изходни данни'!G85</f>
        <v>0.35</v>
      </c>
      <c r="J279" s="449">
        <f>'Изходни данни'!H85</f>
        <v>0.35</v>
      </c>
      <c r="K279" s="449">
        <f>'Изходни данни'!I85</f>
        <v>0.35</v>
      </c>
      <c r="L279" s="449">
        <f>'Изходни данни'!J85</f>
        <v>0.35</v>
      </c>
      <c r="M279" s="449">
        <f>'Изходни данни'!K85</f>
        <v>0.35</v>
      </c>
      <c r="N279" s="449">
        <f>'Изходни данни'!L85</f>
        <v>0.35</v>
      </c>
      <c r="O279" s="449">
        <f>'Изходни данни'!M85</f>
        <v>0.35</v>
      </c>
      <c r="P279" s="449">
        <f>'Изходни данни'!N85</f>
        <v>0.35</v>
      </c>
      <c r="Q279" s="21"/>
    </row>
    <row r="280" spans="1:17" x14ac:dyDescent="0.25">
      <c r="A280" s="3" t="s">
        <v>94</v>
      </c>
      <c r="B280" s="446" t="s">
        <v>211</v>
      </c>
      <c r="C280" s="444">
        <v>0.15</v>
      </c>
      <c r="D280" s="292" t="s">
        <v>22</v>
      </c>
      <c r="E280" s="32">
        <f t="shared" ref="E280:L280" si="70">SUM(E271:E278)*E279</f>
        <v>102.13874999999999</v>
      </c>
      <c r="F280" s="32">
        <f t="shared" si="70"/>
        <v>102.13874999999999</v>
      </c>
      <c r="G280" s="32">
        <f t="shared" si="70"/>
        <v>102.13874999999999</v>
      </c>
      <c r="H280" s="32">
        <f t="shared" si="70"/>
        <v>102.13874999999999</v>
      </c>
      <c r="I280" s="32">
        <f t="shared" si="70"/>
        <v>102.13874999999999</v>
      </c>
      <c r="J280" s="32">
        <f t="shared" si="70"/>
        <v>102.13874999999999</v>
      </c>
      <c r="K280" s="32">
        <f t="shared" si="70"/>
        <v>102.13874999999999</v>
      </c>
      <c r="L280" s="32">
        <f t="shared" si="70"/>
        <v>102.13874999999999</v>
      </c>
      <c r="M280" s="32">
        <f>SUM(M271:M278)*M279</f>
        <v>102.13874999999999</v>
      </c>
      <c r="N280" s="32">
        <f>SUM(N271:N278)*N279</f>
        <v>102.13874999999999</v>
      </c>
      <c r="O280" s="32">
        <f>SUM(O271:O278)*O279</f>
        <v>102.13874999999999</v>
      </c>
      <c r="P280" s="32">
        <f>SUM(P271:P278)*P279</f>
        <v>102.13874999999999</v>
      </c>
      <c r="Q280" s="21"/>
    </row>
    <row r="281" spans="1:17" x14ac:dyDescent="0.25">
      <c r="A281" s="12"/>
      <c r="B281" s="12"/>
      <c r="C281" s="12"/>
      <c r="D281" s="292"/>
      <c r="E281" s="32"/>
      <c r="F281" s="32"/>
      <c r="G281" s="32"/>
      <c r="H281" s="32"/>
      <c r="I281" s="32"/>
      <c r="J281" s="32"/>
      <c r="K281" s="32"/>
      <c r="L281" s="32"/>
      <c r="M281" s="32"/>
      <c r="N281" s="32"/>
      <c r="O281" s="32"/>
      <c r="P281" s="32"/>
      <c r="Q281" s="21"/>
    </row>
    <row r="282" spans="1:17" x14ac:dyDescent="0.25">
      <c r="A282" s="151" t="s">
        <v>108</v>
      </c>
      <c r="B282" s="5"/>
      <c r="C282" s="5"/>
      <c r="E282" s="24"/>
      <c r="F282" s="24"/>
      <c r="G282" s="24"/>
      <c r="H282" s="24"/>
      <c r="I282" s="24"/>
      <c r="J282" s="24"/>
      <c r="K282" s="24"/>
      <c r="L282" s="24"/>
      <c r="M282" s="24"/>
      <c r="N282" s="24"/>
      <c r="O282" s="24"/>
      <c r="P282" s="24"/>
      <c r="Q282" s="21"/>
    </row>
    <row r="283" spans="1:17" x14ac:dyDescent="0.25">
      <c r="A283" s="3" t="s">
        <v>109</v>
      </c>
      <c r="B283" s="12"/>
      <c r="C283" s="14"/>
      <c r="D283" s="292" t="s">
        <v>22</v>
      </c>
      <c r="E283" s="24">
        <f t="shared" ref="E283:L283" si="71">E286+E291</f>
        <v>555.48</v>
      </c>
      <c r="F283" s="24">
        <f t="shared" si="71"/>
        <v>555.48</v>
      </c>
      <c r="G283" s="24">
        <f t="shared" si="71"/>
        <v>555.48</v>
      </c>
      <c r="H283" s="24">
        <f t="shared" si="71"/>
        <v>555.48</v>
      </c>
      <c r="I283" s="24">
        <f t="shared" si="71"/>
        <v>555.48</v>
      </c>
      <c r="J283" s="24">
        <f t="shared" si="71"/>
        <v>555.48</v>
      </c>
      <c r="K283" s="24">
        <f t="shared" si="71"/>
        <v>555.48</v>
      </c>
      <c r="L283" s="24">
        <f t="shared" si="71"/>
        <v>555.48</v>
      </c>
      <c r="M283" s="24">
        <f>M286+M291</f>
        <v>555.48</v>
      </c>
      <c r="N283" s="24">
        <f>N286+N291</f>
        <v>555.48</v>
      </c>
      <c r="O283" s="24">
        <f>O286+O291</f>
        <v>555.48</v>
      </c>
      <c r="P283" s="24">
        <f>P286+P291</f>
        <v>555.48</v>
      </c>
      <c r="Q283" s="21"/>
    </row>
    <row r="284" spans="1:17" x14ac:dyDescent="0.25">
      <c r="A284" s="3" t="s">
        <v>98</v>
      </c>
      <c r="B284" s="12"/>
      <c r="C284" s="14"/>
      <c r="D284" s="292" t="s">
        <v>157</v>
      </c>
      <c r="E284" s="31">
        <f>IF(E283=0,0,(E287*$C287+E288*$C288+E289*$C289+E291*$C291)/E283)</f>
        <v>9.1666666666666674E-2</v>
      </c>
      <c r="F284" s="31">
        <f t="shared" ref="F284:L284" si="72">IF(F283=0,0,(F287*$C287+F288*$C288+F289*$C289+F291*$C291)/F283)</f>
        <v>9.1666666666666674E-2</v>
      </c>
      <c r="G284" s="31">
        <f t="shared" si="72"/>
        <v>9.1666666666666674E-2</v>
      </c>
      <c r="H284" s="31">
        <f t="shared" si="72"/>
        <v>9.1666666666666674E-2</v>
      </c>
      <c r="I284" s="31">
        <f t="shared" si="72"/>
        <v>9.1666666666666674E-2</v>
      </c>
      <c r="J284" s="31">
        <f t="shared" si="72"/>
        <v>9.1666666666666674E-2</v>
      </c>
      <c r="K284" s="31">
        <f t="shared" si="72"/>
        <v>9.1666666666666674E-2</v>
      </c>
      <c r="L284" s="31">
        <f t="shared" si="72"/>
        <v>9.1666666666666674E-2</v>
      </c>
      <c r="M284" s="31">
        <f>IF(M283=0,0,(M287*$C287+M288*$C288+M289*$C289+M291*$C291)/M283)</f>
        <v>9.1666666666666674E-2</v>
      </c>
      <c r="N284" s="31">
        <f>IF(N283=0,0,(N287*$C287+N288*$C288+N289*$C289+N291*$C291)/N283)</f>
        <v>9.1666666666666674E-2</v>
      </c>
      <c r="O284" s="31">
        <f>IF(O283=0,0,(O287*$C287+O288*$C288+O289*$C289+O291*$C291)/O283)</f>
        <v>9.1666666666666674E-2</v>
      </c>
      <c r="P284" s="31">
        <f>IF(P283=0,0,(P287*$C287+P288*$C288+P289*$C289+P291*$C291)/P283)</f>
        <v>9.1666666666666674E-2</v>
      </c>
      <c r="Q284" s="21"/>
    </row>
    <row r="285" spans="1:17" x14ac:dyDescent="0.25">
      <c r="A285" s="3" t="s">
        <v>99</v>
      </c>
      <c r="B285" s="12"/>
      <c r="C285" s="14"/>
      <c r="D285" s="292" t="s">
        <v>158</v>
      </c>
      <c r="E285" s="24">
        <f t="shared" ref="E285:P285" si="73">IF(E249=0,0,E283*1000/E249)</f>
        <v>55.548000000000002</v>
      </c>
      <c r="F285" s="24">
        <f t="shared" si="73"/>
        <v>55.548000000000002</v>
      </c>
      <c r="G285" s="24">
        <f t="shared" si="73"/>
        <v>55.548000000000002</v>
      </c>
      <c r="H285" s="24">
        <f t="shared" si="73"/>
        <v>55.548000000000002</v>
      </c>
      <c r="I285" s="24">
        <f t="shared" si="73"/>
        <v>55.548000000000002</v>
      </c>
      <c r="J285" s="24">
        <f t="shared" si="73"/>
        <v>55.548000000000002</v>
      </c>
      <c r="K285" s="24">
        <f t="shared" si="73"/>
        <v>55.548000000000002</v>
      </c>
      <c r="L285" s="24">
        <f t="shared" si="73"/>
        <v>55.548000000000002</v>
      </c>
      <c r="M285" s="24">
        <f t="shared" si="73"/>
        <v>55.548000000000002</v>
      </c>
      <c r="N285" s="24">
        <f t="shared" si="73"/>
        <v>55.548000000000002</v>
      </c>
      <c r="O285" s="24">
        <f t="shared" si="73"/>
        <v>55.548000000000002</v>
      </c>
      <c r="P285" s="24">
        <f t="shared" si="73"/>
        <v>55.548000000000002</v>
      </c>
      <c r="Q285" s="21"/>
    </row>
    <row r="286" spans="1:17" x14ac:dyDescent="0.25">
      <c r="A286" s="3" t="s">
        <v>138</v>
      </c>
      <c r="B286" s="12"/>
      <c r="C286" s="14"/>
      <c r="D286" s="292" t="s">
        <v>22</v>
      </c>
      <c r="E286" s="24">
        <f t="shared" ref="E286:L286" si="74">SUM(E287:E289)</f>
        <v>462.90000000000003</v>
      </c>
      <c r="F286" s="24">
        <f t="shared" si="74"/>
        <v>462.90000000000003</v>
      </c>
      <c r="G286" s="24">
        <f t="shared" si="74"/>
        <v>462.90000000000003</v>
      </c>
      <c r="H286" s="24">
        <f t="shared" si="74"/>
        <v>462.90000000000003</v>
      </c>
      <c r="I286" s="24">
        <f t="shared" si="74"/>
        <v>462.90000000000003</v>
      </c>
      <c r="J286" s="24">
        <f t="shared" si="74"/>
        <v>462.90000000000003</v>
      </c>
      <c r="K286" s="24">
        <f t="shared" si="74"/>
        <v>462.90000000000003</v>
      </c>
      <c r="L286" s="24">
        <f t="shared" si="74"/>
        <v>462.90000000000003</v>
      </c>
      <c r="M286" s="24">
        <f>SUM(M287:M289)</f>
        <v>462.90000000000003</v>
      </c>
      <c r="N286" s="24">
        <f>SUM(N287:N289)</f>
        <v>462.90000000000003</v>
      </c>
      <c r="O286" s="24">
        <f>SUM(O287:O289)</f>
        <v>462.90000000000003</v>
      </c>
      <c r="P286" s="24">
        <f>SUM(P287:P289)</f>
        <v>462.90000000000003</v>
      </c>
      <c r="Q286" s="21"/>
    </row>
    <row r="287" spans="1:17" s="39" customFormat="1" x14ac:dyDescent="0.25">
      <c r="A287" s="34" t="s">
        <v>100</v>
      </c>
      <c r="B287" s="446" t="s">
        <v>211</v>
      </c>
      <c r="C287" s="442">
        <f>C271</f>
        <v>0.08</v>
      </c>
      <c r="D287" s="299" t="s">
        <v>22</v>
      </c>
      <c r="E287" s="37">
        <f t="shared" ref="E287:P287" si="75">IF($B$264=3,E249*((E105*E257*$B257)+(E258*$B258*E106))/1000,0)</f>
        <v>312.60000000000002</v>
      </c>
      <c r="F287" s="37">
        <f t="shared" si="75"/>
        <v>312.60000000000002</v>
      </c>
      <c r="G287" s="37">
        <f t="shared" si="75"/>
        <v>312.60000000000002</v>
      </c>
      <c r="H287" s="37">
        <f t="shared" si="75"/>
        <v>312.60000000000002</v>
      </c>
      <c r="I287" s="37">
        <f t="shared" si="75"/>
        <v>312.60000000000002</v>
      </c>
      <c r="J287" s="37">
        <f t="shared" si="75"/>
        <v>312.60000000000002</v>
      </c>
      <c r="K287" s="37">
        <f t="shared" si="75"/>
        <v>312.60000000000002</v>
      </c>
      <c r="L287" s="37">
        <f t="shared" si="75"/>
        <v>312.60000000000002</v>
      </c>
      <c r="M287" s="37">
        <f t="shared" si="75"/>
        <v>312.60000000000002</v>
      </c>
      <c r="N287" s="37">
        <f t="shared" si="75"/>
        <v>312.60000000000002</v>
      </c>
      <c r="O287" s="37">
        <f t="shared" si="75"/>
        <v>312.60000000000002</v>
      </c>
      <c r="P287" s="37">
        <f t="shared" si="75"/>
        <v>312.60000000000002</v>
      </c>
      <c r="Q287" s="38"/>
    </row>
    <row r="288" spans="1:17" s="39" customFormat="1" x14ac:dyDescent="0.25">
      <c r="A288" s="34" t="s">
        <v>101</v>
      </c>
      <c r="B288" s="446" t="s">
        <v>211</v>
      </c>
      <c r="C288" s="442">
        <f>C272</f>
        <v>0.08</v>
      </c>
      <c r="D288" s="299" t="s">
        <v>22</v>
      </c>
      <c r="E288" s="37">
        <f>IF($B$264=3,IF(E249=0,0,E45*'Изходни данни'!C70+E46*'Изходни данни'!C71),0)</f>
        <v>60.900000000000006</v>
      </c>
      <c r="F288" s="37">
        <f>IF($B$264=3,IF(F249=0,0,F45*'Изходни данни'!D70+F46*'Изходни данни'!D71),0)</f>
        <v>60.900000000000006</v>
      </c>
      <c r="G288" s="37">
        <f>IF($B$264=3,IF(G249=0,0,G45*'Изходни данни'!E70+G46*'Изходни данни'!E71),0)</f>
        <v>60.900000000000006</v>
      </c>
      <c r="H288" s="37">
        <f>IF($B$264=3,IF(H249=0,0,H45*'Изходни данни'!F70+H46*'Изходни данни'!F71),0)</f>
        <v>60.900000000000006</v>
      </c>
      <c r="I288" s="37">
        <f>IF($B$264=3,IF(I249=0,0,I45*'Изходни данни'!G70+I46*'Изходни данни'!G71),0)</f>
        <v>60.900000000000006</v>
      </c>
      <c r="J288" s="37">
        <f>IF($B$264=3,IF(J249=0,0,J45*'Изходни данни'!H70+J46*'Изходни данни'!H71),0)</f>
        <v>60.900000000000006</v>
      </c>
      <c r="K288" s="37">
        <f>IF($B$264=3,IF(K249=0,0,K45*'Изходни данни'!I70+K46*'Изходни данни'!I71),0)</f>
        <v>60.900000000000006</v>
      </c>
      <c r="L288" s="37">
        <f>IF($B$264=3,IF(L249=0,0,L45*'Изходни данни'!J70+L46*'Изходни данни'!J71),0)</f>
        <v>60.900000000000006</v>
      </c>
      <c r="M288" s="37">
        <f>IF($B$264=3,IF(M249=0,0,M45*'Изходни данни'!K70+M46*'Изходни данни'!K71),0)</f>
        <v>60.900000000000006</v>
      </c>
      <c r="N288" s="37">
        <f>IF($B$264=3,IF(N249=0,0,N45*'Изходни данни'!L70+N46*'Изходни данни'!L71),0)</f>
        <v>60.900000000000006</v>
      </c>
      <c r="O288" s="37">
        <f>IF($B$264=3,IF(O249=0,0,O45*'Изходни данни'!M70+O46*'Изходни данни'!M71),0)</f>
        <v>60.900000000000006</v>
      </c>
      <c r="P288" s="37">
        <f>IF($B$264=3,IF(P249=0,0,P45*'Изходни данни'!N70+P46*'Изходни данни'!N71),0)</f>
        <v>60.900000000000006</v>
      </c>
      <c r="Q288" s="38"/>
    </row>
    <row r="289" spans="1:17" s="39" customFormat="1" x14ac:dyDescent="0.25">
      <c r="A289" s="34" t="s">
        <v>102</v>
      </c>
      <c r="B289" s="446" t="s">
        <v>211</v>
      </c>
      <c r="C289" s="442">
        <f>C273</f>
        <v>0.08</v>
      </c>
      <c r="D289" s="299" t="s">
        <v>22</v>
      </c>
      <c r="E289" s="37">
        <f t="shared" ref="E289:P289" si="76">IF($B$264=3,E249*((E105*E257*(1-$B257))+(E258*(1-$B258)*E106))/1000,0)</f>
        <v>89.40000000000002</v>
      </c>
      <c r="F289" s="37">
        <f t="shared" si="76"/>
        <v>89.40000000000002</v>
      </c>
      <c r="G289" s="37">
        <f t="shared" si="76"/>
        <v>89.40000000000002</v>
      </c>
      <c r="H289" s="37">
        <f t="shared" si="76"/>
        <v>89.40000000000002</v>
      </c>
      <c r="I289" s="37">
        <f t="shared" si="76"/>
        <v>89.40000000000002</v>
      </c>
      <c r="J289" s="37">
        <f t="shared" si="76"/>
        <v>89.40000000000002</v>
      </c>
      <c r="K289" s="37">
        <f t="shared" si="76"/>
        <v>89.40000000000002</v>
      </c>
      <c r="L289" s="37">
        <f t="shared" si="76"/>
        <v>89.40000000000002</v>
      </c>
      <c r="M289" s="37">
        <f t="shared" si="76"/>
        <v>89.40000000000002</v>
      </c>
      <c r="N289" s="37">
        <f t="shared" si="76"/>
        <v>89.40000000000002</v>
      </c>
      <c r="O289" s="37">
        <f t="shared" si="76"/>
        <v>89.40000000000002</v>
      </c>
      <c r="P289" s="37">
        <f t="shared" si="76"/>
        <v>89.40000000000002</v>
      </c>
      <c r="Q289" s="38"/>
    </row>
    <row r="290" spans="1:17" x14ac:dyDescent="0.25">
      <c r="A290" s="3" t="s">
        <v>94</v>
      </c>
      <c r="B290" s="5"/>
      <c r="C290" s="5"/>
      <c r="D290" s="292" t="s">
        <v>215</v>
      </c>
      <c r="E290" s="449">
        <f>'Изходни данни'!C86</f>
        <v>0.2</v>
      </c>
      <c r="F290" s="449">
        <f>'Изходни данни'!D86</f>
        <v>0.2</v>
      </c>
      <c r="G290" s="449">
        <f>'Изходни данни'!E86</f>
        <v>0.2</v>
      </c>
      <c r="H290" s="449">
        <f>'Изходни данни'!F86</f>
        <v>0.2</v>
      </c>
      <c r="I290" s="449">
        <f>'Изходни данни'!G86</f>
        <v>0.2</v>
      </c>
      <c r="J290" s="449">
        <f>'Изходни данни'!H86</f>
        <v>0.2</v>
      </c>
      <c r="K290" s="449">
        <f>'Изходни данни'!I86</f>
        <v>0.2</v>
      </c>
      <c r="L290" s="449">
        <f>'Изходни данни'!J86</f>
        <v>0.2</v>
      </c>
      <c r="M290" s="449">
        <f>'Изходни данни'!K86</f>
        <v>0.2</v>
      </c>
      <c r="N290" s="449">
        <f>'Изходни данни'!L86</f>
        <v>0.2</v>
      </c>
      <c r="O290" s="449">
        <f>'Изходни данни'!M86</f>
        <v>0.2</v>
      </c>
      <c r="P290" s="449">
        <f>'Изходни данни'!N86</f>
        <v>0.2</v>
      </c>
      <c r="Q290" s="21"/>
    </row>
    <row r="291" spans="1:17" x14ac:dyDescent="0.25">
      <c r="A291" s="3" t="s">
        <v>94</v>
      </c>
      <c r="B291" s="446" t="s">
        <v>211</v>
      </c>
      <c r="C291" s="445">
        <f>C280</f>
        <v>0.15</v>
      </c>
      <c r="D291" s="292" t="s">
        <v>22</v>
      </c>
      <c r="E291" s="32">
        <f t="shared" ref="E291:L291" si="77">SUM(E287:E289)*E290</f>
        <v>92.580000000000013</v>
      </c>
      <c r="F291" s="32">
        <f t="shared" si="77"/>
        <v>92.580000000000013</v>
      </c>
      <c r="G291" s="32">
        <f t="shared" si="77"/>
        <v>92.580000000000013</v>
      </c>
      <c r="H291" s="32">
        <f t="shared" si="77"/>
        <v>92.580000000000013</v>
      </c>
      <c r="I291" s="32">
        <f t="shared" si="77"/>
        <v>92.580000000000013</v>
      </c>
      <c r="J291" s="32">
        <f t="shared" si="77"/>
        <v>92.580000000000013</v>
      </c>
      <c r="K291" s="32">
        <f t="shared" si="77"/>
        <v>92.580000000000013</v>
      </c>
      <c r="L291" s="32">
        <f t="shared" si="77"/>
        <v>92.580000000000013</v>
      </c>
      <c r="M291" s="32">
        <f>SUM(M287:M289)*M290</f>
        <v>92.580000000000013</v>
      </c>
      <c r="N291" s="32">
        <f>SUM(N287:N289)*N290</f>
        <v>92.580000000000013</v>
      </c>
      <c r="O291" s="32">
        <f>SUM(O287:O289)*O290</f>
        <v>92.580000000000013</v>
      </c>
      <c r="P291" s="32">
        <f>SUM(P287:P289)*P290</f>
        <v>92.580000000000013</v>
      </c>
      <c r="Q291" s="21"/>
    </row>
    <row r="292" spans="1:17" x14ac:dyDescent="0.25">
      <c r="A292" s="12"/>
      <c r="B292" s="12"/>
      <c r="C292" s="14"/>
      <c r="D292" s="300"/>
      <c r="E292" s="26"/>
      <c r="F292" s="26"/>
      <c r="G292" s="26"/>
      <c r="H292" s="26"/>
      <c r="I292" s="26"/>
      <c r="J292" s="26"/>
      <c r="K292" s="26"/>
      <c r="L292" s="26"/>
      <c r="M292" s="26"/>
      <c r="N292" s="26"/>
      <c r="O292" s="26"/>
      <c r="P292" s="26"/>
      <c r="Q292" s="21"/>
    </row>
    <row r="293" spans="1:17" ht="15.75" x14ac:dyDescent="0.25">
      <c r="A293" s="152" t="s">
        <v>111</v>
      </c>
      <c r="B293" s="12"/>
      <c r="C293" s="14"/>
      <c r="D293" s="300"/>
      <c r="E293" s="26"/>
      <c r="F293" s="26"/>
      <c r="G293" s="26"/>
      <c r="H293" s="26"/>
      <c r="I293" s="26"/>
      <c r="J293" s="26"/>
      <c r="K293" s="26"/>
      <c r="L293" s="26"/>
      <c r="M293" s="26"/>
      <c r="N293" s="26"/>
      <c r="O293" s="26"/>
      <c r="P293" s="26"/>
      <c r="Q293" s="21"/>
    </row>
    <row r="294" spans="1:17" x14ac:dyDescent="0.25">
      <c r="A294" s="3" t="s">
        <v>110</v>
      </c>
      <c r="B294" s="22"/>
      <c r="C294" s="22"/>
      <c r="D294" s="292" t="s">
        <v>22</v>
      </c>
      <c r="E294" s="24">
        <f>E297+E300</f>
        <v>189</v>
      </c>
      <c r="F294" s="24">
        <f t="shared" ref="F294:L294" si="78">F297+F300</f>
        <v>189</v>
      </c>
      <c r="G294" s="24">
        <f t="shared" si="78"/>
        <v>189</v>
      </c>
      <c r="H294" s="24">
        <f t="shared" si="78"/>
        <v>189</v>
      </c>
      <c r="I294" s="24">
        <f t="shared" si="78"/>
        <v>189</v>
      </c>
      <c r="J294" s="24">
        <f t="shared" si="78"/>
        <v>189</v>
      </c>
      <c r="K294" s="24">
        <f t="shared" si="78"/>
        <v>189</v>
      </c>
      <c r="L294" s="24">
        <f t="shared" si="78"/>
        <v>189</v>
      </c>
      <c r="M294" s="24">
        <f>M297+M300</f>
        <v>189</v>
      </c>
      <c r="N294" s="24">
        <f>N297+N300</f>
        <v>189</v>
      </c>
      <c r="O294" s="24">
        <f>O297+O300</f>
        <v>189</v>
      </c>
      <c r="P294" s="24">
        <f>P297+P300</f>
        <v>189</v>
      </c>
      <c r="Q294" s="21"/>
    </row>
    <row r="295" spans="1:17" x14ac:dyDescent="0.25">
      <c r="A295" s="3" t="s">
        <v>98</v>
      </c>
      <c r="B295" s="22"/>
      <c r="C295" s="22"/>
      <c r="D295" s="292" t="s">
        <v>157</v>
      </c>
      <c r="E295" s="441">
        <v>0.35</v>
      </c>
      <c r="F295" s="31">
        <f>$E295</f>
        <v>0.35</v>
      </c>
      <c r="G295" s="31">
        <f t="shared" ref="G295:P295" si="79">$E295</f>
        <v>0.35</v>
      </c>
      <c r="H295" s="31">
        <f t="shared" si="79"/>
        <v>0.35</v>
      </c>
      <c r="I295" s="31">
        <f t="shared" si="79"/>
        <v>0.35</v>
      </c>
      <c r="J295" s="31">
        <f t="shared" si="79"/>
        <v>0.35</v>
      </c>
      <c r="K295" s="31">
        <f t="shared" si="79"/>
        <v>0.35</v>
      </c>
      <c r="L295" s="31">
        <f t="shared" si="79"/>
        <v>0.35</v>
      </c>
      <c r="M295" s="31">
        <f t="shared" si="79"/>
        <v>0.35</v>
      </c>
      <c r="N295" s="31">
        <f t="shared" si="79"/>
        <v>0.35</v>
      </c>
      <c r="O295" s="31">
        <f t="shared" si="79"/>
        <v>0.35</v>
      </c>
      <c r="P295" s="31">
        <f t="shared" si="79"/>
        <v>0.35</v>
      </c>
      <c r="Q295" s="21"/>
    </row>
    <row r="296" spans="1:17" x14ac:dyDescent="0.25">
      <c r="A296" s="3" t="s">
        <v>99</v>
      </c>
      <c r="B296" s="12"/>
      <c r="C296" s="22"/>
      <c r="D296" s="292" t="s">
        <v>158</v>
      </c>
      <c r="E296" s="24">
        <f t="shared" ref="E296:P296" si="80">IF(E249=0,0,E294*1000/E249)</f>
        <v>18.899999999999999</v>
      </c>
      <c r="F296" s="24">
        <f t="shared" si="80"/>
        <v>18.899999999999999</v>
      </c>
      <c r="G296" s="24">
        <f t="shared" si="80"/>
        <v>18.899999999999999</v>
      </c>
      <c r="H296" s="24">
        <f t="shared" si="80"/>
        <v>18.899999999999999</v>
      </c>
      <c r="I296" s="24">
        <f t="shared" si="80"/>
        <v>18.899999999999999</v>
      </c>
      <c r="J296" s="24">
        <f t="shared" si="80"/>
        <v>18.899999999999999</v>
      </c>
      <c r="K296" s="24">
        <f t="shared" si="80"/>
        <v>18.899999999999999</v>
      </c>
      <c r="L296" s="24">
        <f t="shared" si="80"/>
        <v>18.899999999999999</v>
      </c>
      <c r="M296" s="24">
        <f t="shared" si="80"/>
        <v>18.899999999999999</v>
      </c>
      <c r="N296" s="24">
        <f t="shared" si="80"/>
        <v>18.899999999999999</v>
      </c>
      <c r="O296" s="24">
        <f t="shared" si="80"/>
        <v>18.899999999999999</v>
      </c>
      <c r="P296" s="24">
        <f t="shared" si="80"/>
        <v>18.899999999999999</v>
      </c>
      <c r="Q296" s="21"/>
    </row>
    <row r="297" spans="1:17" s="39" customFormat="1" ht="30" x14ac:dyDescent="0.25">
      <c r="A297" s="34" t="s">
        <v>110</v>
      </c>
      <c r="B297" s="35"/>
      <c r="C297" s="40"/>
      <c r="D297" s="299" t="s">
        <v>22</v>
      </c>
      <c r="E297" s="37">
        <f t="shared" ref="E297:P297" si="81">E249*E113*E261/1000</f>
        <v>180</v>
      </c>
      <c r="F297" s="37">
        <f t="shared" si="81"/>
        <v>180</v>
      </c>
      <c r="G297" s="37">
        <f t="shared" si="81"/>
        <v>180</v>
      </c>
      <c r="H297" s="37">
        <f t="shared" si="81"/>
        <v>180</v>
      </c>
      <c r="I297" s="37">
        <f t="shared" si="81"/>
        <v>180</v>
      </c>
      <c r="J297" s="37">
        <f t="shared" si="81"/>
        <v>180</v>
      </c>
      <c r="K297" s="37">
        <f t="shared" si="81"/>
        <v>180</v>
      </c>
      <c r="L297" s="37">
        <f t="shared" si="81"/>
        <v>180</v>
      </c>
      <c r="M297" s="37">
        <f t="shared" si="81"/>
        <v>180</v>
      </c>
      <c r="N297" s="37">
        <f t="shared" si="81"/>
        <v>180</v>
      </c>
      <c r="O297" s="37">
        <f t="shared" si="81"/>
        <v>180</v>
      </c>
      <c r="P297" s="37">
        <f t="shared" si="81"/>
        <v>180</v>
      </c>
      <c r="Q297" s="38"/>
    </row>
    <row r="298" spans="1:17" s="39" customFormat="1" ht="30" x14ac:dyDescent="0.25">
      <c r="A298" s="34" t="s">
        <v>112</v>
      </c>
      <c r="B298" s="35"/>
      <c r="C298" s="40"/>
      <c r="D298" s="299" t="s">
        <v>22</v>
      </c>
      <c r="E298" s="37">
        <f>IF(E249=0,0,E53*'Изходни данни'!C73)</f>
        <v>19.200000000000003</v>
      </c>
      <c r="F298" s="37">
        <f>IF(F249=0,0,F53*'Изходни данни'!D73)</f>
        <v>19.200000000000003</v>
      </c>
      <c r="G298" s="37">
        <f>IF(G249=0,0,G53*'Изходни данни'!E73)</f>
        <v>19.200000000000003</v>
      </c>
      <c r="H298" s="37">
        <f>IF(H249=0,0,H53*'Изходни данни'!F73)</f>
        <v>19.200000000000003</v>
      </c>
      <c r="I298" s="37">
        <f>IF(I249=0,0,I53*'Изходни данни'!G73)</f>
        <v>19.200000000000003</v>
      </c>
      <c r="J298" s="37">
        <f>IF(J249=0,0,J53*'Изходни данни'!H73)</f>
        <v>19.200000000000003</v>
      </c>
      <c r="K298" s="37">
        <f>IF(K249=0,0,K53*'Изходни данни'!I73)</f>
        <v>19.200000000000003</v>
      </c>
      <c r="L298" s="37">
        <f>IF(L249=0,0,L53*'Изходни данни'!J73)</f>
        <v>19.200000000000003</v>
      </c>
      <c r="M298" s="37">
        <f>IF(M249=0,0,M53*'Изходни данни'!K73)</f>
        <v>19.200000000000003</v>
      </c>
      <c r="N298" s="37">
        <f>IF(N249=0,0,N53*'Изходни данни'!L73)</f>
        <v>19.200000000000003</v>
      </c>
      <c r="O298" s="37">
        <f>IF(O249=0,0,O53*'Изходни данни'!M73)</f>
        <v>19.200000000000003</v>
      </c>
      <c r="P298" s="37">
        <f>IF(P249=0,0,P53*'Изходни данни'!N73)</f>
        <v>19.200000000000003</v>
      </c>
      <c r="Q298" s="38"/>
    </row>
    <row r="299" spans="1:17" x14ac:dyDescent="0.25">
      <c r="A299" s="3" t="s">
        <v>94</v>
      </c>
      <c r="B299" s="12"/>
      <c r="C299" s="22"/>
      <c r="D299" s="292" t="s">
        <v>215</v>
      </c>
      <c r="E299" s="30">
        <f>'Изходни данни'!C87</f>
        <v>0.05</v>
      </c>
      <c r="F299" s="30">
        <f>'Изходни данни'!D87</f>
        <v>0.05</v>
      </c>
      <c r="G299" s="30">
        <f>'Изходни данни'!E87</f>
        <v>0.05</v>
      </c>
      <c r="H299" s="30">
        <f>'Изходни данни'!F87</f>
        <v>0.05</v>
      </c>
      <c r="I299" s="30">
        <f>'Изходни данни'!G87</f>
        <v>0.05</v>
      </c>
      <c r="J299" s="30">
        <f>'Изходни данни'!H87</f>
        <v>0.05</v>
      </c>
      <c r="K299" s="30">
        <f>'Изходни данни'!I87</f>
        <v>0.05</v>
      </c>
      <c r="L299" s="30">
        <f>'Изходни данни'!J87</f>
        <v>0.05</v>
      </c>
      <c r="M299" s="30">
        <f>'Изходни данни'!K87</f>
        <v>0.05</v>
      </c>
      <c r="N299" s="30">
        <f>'Изходни данни'!L87</f>
        <v>0.05</v>
      </c>
      <c r="O299" s="30">
        <f>'Изходни данни'!M87</f>
        <v>0.05</v>
      </c>
      <c r="P299" s="30">
        <f>'Изходни данни'!N87</f>
        <v>0.05</v>
      </c>
      <c r="Q299" s="21"/>
    </row>
    <row r="300" spans="1:17" x14ac:dyDescent="0.25">
      <c r="A300" s="3" t="s">
        <v>94</v>
      </c>
      <c r="D300" s="292" t="s">
        <v>22</v>
      </c>
      <c r="E300" s="24">
        <f>E297*E299</f>
        <v>9</v>
      </c>
      <c r="F300" s="24">
        <f t="shared" ref="F300:L300" si="82">F297*F299</f>
        <v>9</v>
      </c>
      <c r="G300" s="24">
        <f t="shared" si="82"/>
        <v>9</v>
      </c>
      <c r="H300" s="24">
        <f t="shared" si="82"/>
        <v>9</v>
      </c>
      <c r="I300" s="24">
        <f t="shared" si="82"/>
        <v>9</v>
      </c>
      <c r="J300" s="24">
        <f t="shared" si="82"/>
        <v>9</v>
      </c>
      <c r="K300" s="24">
        <f t="shared" si="82"/>
        <v>9</v>
      </c>
      <c r="L300" s="24">
        <f t="shared" si="82"/>
        <v>9</v>
      </c>
      <c r="M300" s="24">
        <f>M297*M299</f>
        <v>9</v>
      </c>
      <c r="N300" s="24">
        <f>N297*N299</f>
        <v>9</v>
      </c>
      <c r="O300" s="24">
        <f>O297*O299</f>
        <v>9</v>
      </c>
      <c r="P300" s="24">
        <f>P297*P299</f>
        <v>9</v>
      </c>
    </row>
    <row r="301" spans="1:17" x14ac:dyDescent="0.25">
      <c r="A301" s="22"/>
      <c r="B301" s="22"/>
      <c r="C301" s="22"/>
      <c r="D301" s="301"/>
      <c r="E301" s="33"/>
      <c r="F301" s="33"/>
      <c r="G301" s="33"/>
      <c r="H301" s="33"/>
      <c r="I301" s="33"/>
      <c r="J301" s="33"/>
      <c r="K301" s="33"/>
      <c r="L301" s="33"/>
      <c r="M301" s="33"/>
      <c r="N301" s="33"/>
      <c r="O301" s="33"/>
      <c r="P301" s="33"/>
      <c r="Q301" s="21"/>
    </row>
    <row r="302" spans="1:17" x14ac:dyDescent="0.25">
      <c r="A302" s="150" t="s">
        <v>174</v>
      </c>
      <c r="B302" s="12"/>
      <c r="C302" s="22"/>
      <c r="D302" s="301"/>
      <c r="E302" s="26"/>
      <c r="F302" s="26"/>
      <c r="G302" s="26"/>
      <c r="H302" s="26"/>
      <c r="I302" s="26"/>
      <c r="J302" s="26"/>
      <c r="K302" s="26"/>
      <c r="L302" s="26"/>
      <c r="M302" s="26"/>
      <c r="N302" s="26"/>
      <c r="O302" s="26"/>
      <c r="P302" s="26"/>
      <c r="Q302" s="21"/>
    </row>
    <row r="303" spans="1:17" x14ac:dyDescent="0.25">
      <c r="A303" s="3" t="s">
        <v>175</v>
      </c>
      <c r="B303" s="12"/>
      <c r="C303" s="22"/>
      <c r="D303" s="292" t="s">
        <v>22</v>
      </c>
      <c r="E303" s="24">
        <f>E251*(E111*E260+E104*E256)/1000</f>
        <v>0</v>
      </c>
      <c r="F303" s="24">
        <f t="shared" ref="F303:P303" si="83">F251*(F111*F260+F104*F256)/1000</f>
        <v>183.6</v>
      </c>
      <c r="G303" s="24">
        <f t="shared" si="83"/>
        <v>183.6</v>
      </c>
      <c r="H303" s="24">
        <f t="shared" si="83"/>
        <v>183.6</v>
      </c>
      <c r="I303" s="24">
        <f t="shared" si="83"/>
        <v>183.6</v>
      </c>
      <c r="J303" s="24">
        <f t="shared" si="83"/>
        <v>183.6</v>
      </c>
      <c r="K303" s="24">
        <f t="shared" si="83"/>
        <v>183.6</v>
      </c>
      <c r="L303" s="24">
        <f t="shared" si="83"/>
        <v>183.6</v>
      </c>
      <c r="M303" s="24">
        <f t="shared" si="83"/>
        <v>183.6</v>
      </c>
      <c r="N303" s="24">
        <f t="shared" si="83"/>
        <v>183.6</v>
      </c>
      <c r="O303" s="24">
        <f t="shared" si="83"/>
        <v>183.6</v>
      </c>
      <c r="P303" s="24">
        <f t="shared" si="83"/>
        <v>183.6</v>
      </c>
      <c r="Q303" s="21"/>
    </row>
    <row r="304" spans="1:17" x14ac:dyDescent="0.25">
      <c r="C304" s="8"/>
      <c r="E304" s="23"/>
      <c r="F304" s="23"/>
      <c r="G304" s="23"/>
      <c r="H304" s="23"/>
      <c r="I304" s="23"/>
      <c r="J304" s="23"/>
      <c r="K304" s="23"/>
      <c r="L304" s="23"/>
      <c r="M304" s="23"/>
      <c r="N304" s="23"/>
      <c r="O304" s="23"/>
      <c r="P304" s="23"/>
    </row>
    <row r="305" spans="1:17" ht="23.25" x14ac:dyDescent="0.35">
      <c r="A305" s="153" t="str">
        <f>A120</f>
        <v>големи населени места (повече от 3000 жители)</v>
      </c>
      <c r="B305" s="154"/>
      <c r="C305" s="154"/>
      <c r="D305" s="302"/>
      <c r="E305" s="154"/>
      <c r="F305" s="154"/>
      <c r="G305" s="154"/>
      <c r="H305" s="154"/>
      <c r="I305" s="154"/>
      <c r="J305" s="154"/>
      <c r="K305" s="154"/>
      <c r="L305" s="154"/>
      <c r="M305" s="154"/>
      <c r="N305" s="154"/>
      <c r="O305" s="154"/>
      <c r="P305" s="154"/>
      <c r="Q305" s="11"/>
    </row>
    <row r="306" spans="1:17" x14ac:dyDescent="0.25">
      <c r="A306" s="155" t="s">
        <v>16</v>
      </c>
      <c r="B306" s="9"/>
      <c r="C306" s="4"/>
      <c r="D306" s="21" t="s">
        <v>19</v>
      </c>
      <c r="E306" s="449">
        <f t="shared" ref="E306:P306" si="84">IF(E307=0,0,E307/E$8)</f>
        <v>1</v>
      </c>
      <c r="F306" s="449">
        <f t="shared" si="84"/>
        <v>1</v>
      </c>
      <c r="G306" s="449">
        <f t="shared" si="84"/>
        <v>1</v>
      </c>
      <c r="H306" s="449">
        <f t="shared" si="84"/>
        <v>1</v>
      </c>
      <c r="I306" s="449">
        <f t="shared" si="84"/>
        <v>1</v>
      </c>
      <c r="J306" s="449">
        <f t="shared" si="84"/>
        <v>1</v>
      </c>
      <c r="K306" s="449">
        <f t="shared" si="84"/>
        <v>1</v>
      </c>
      <c r="L306" s="449">
        <f t="shared" si="84"/>
        <v>1</v>
      </c>
      <c r="M306" s="449">
        <f t="shared" si="84"/>
        <v>1</v>
      </c>
      <c r="N306" s="449">
        <f t="shared" si="84"/>
        <v>1</v>
      </c>
      <c r="O306" s="449">
        <f t="shared" si="84"/>
        <v>1</v>
      </c>
      <c r="P306" s="449">
        <f t="shared" si="84"/>
        <v>1</v>
      </c>
    </row>
    <row r="307" spans="1:17" x14ac:dyDescent="0.25">
      <c r="A307" s="6"/>
      <c r="B307" s="9"/>
      <c r="C307" s="6"/>
      <c r="D307" s="21" t="s">
        <v>129</v>
      </c>
      <c r="E307" s="24">
        <f>'Изходни данни'!C10</f>
        <v>25000</v>
      </c>
      <c r="F307" s="24">
        <f>'Изходни данни'!D10</f>
        <v>25000</v>
      </c>
      <c r="G307" s="24">
        <f>'Изходни данни'!E10</f>
        <v>25000</v>
      </c>
      <c r="H307" s="24">
        <f>'Изходни данни'!F10</f>
        <v>25000</v>
      </c>
      <c r="I307" s="24">
        <f>'Изходни данни'!G10</f>
        <v>25000</v>
      </c>
      <c r="J307" s="24">
        <f>'Изходни данни'!H10</f>
        <v>25000</v>
      </c>
      <c r="K307" s="24">
        <f>'Изходни данни'!I10</f>
        <v>25000</v>
      </c>
      <c r="L307" s="24">
        <f>'Изходни данни'!J10</f>
        <v>25000</v>
      </c>
      <c r="M307" s="24">
        <f>'Изходни данни'!K10</f>
        <v>25000</v>
      </c>
      <c r="N307" s="24">
        <f>'Изходни данни'!L10</f>
        <v>25000</v>
      </c>
      <c r="O307" s="24">
        <f>'Изходни данни'!M10</f>
        <v>25000</v>
      </c>
      <c r="P307" s="24">
        <f>'Изходни данни'!N10</f>
        <v>25000</v>
      </c>
    </row>
    <row r="308" spans="1:17" ht="30" x14ac:dyDescent="0.25">
      <c r="A308" s="156" t="s">
        <v>17</v>
      </c>
      <c r="B308" s="9"/>
      <c r="C308" s="4"/>
      <c r="D308" s="296"/>
      <c r="E308" s="449">
        <f t="shared" ref="E308:P308" si="85">IF(E309=0,0,E309/E$8)</f>
        <v>0</v>
      </c>
      <c r="F308" s="449">
        <f t="shared" si="85"/>
        <v>0.8</v>
      </c>
      <c r="G308" s="449">
        <f t="shared" si="85"/>
        <v>0.8</v>
      </c>
      <c r="H308" s="449">
        <f t="shared" si="85"/>
        <v>0.8</v>
      </c>
      <c r="I308" s="449">
        <f t="shared" si="85"/>
        <v>0.8</v>
      </c>
      <c r="J308" s="449">
        <f t="shared" si="85"/>
        <v>0.8</v>
      </c>
      <c r="K308" s="449">
        <f t="shared" si="85"/>
        <v>0.8</v>
      </c>
      <c r="L308" s="449">
        <f t="shared" si="85"/>
        <v>0.8</v>
      </c>
      <c r="M308" s="449">
        <f t="shared" si="85"/>
        <v>0.8</v>
      </c>
      <c r="N308" s="449">
        <f t="shared" si="85"/>
        <v>0.8</v>
      </c>
      <c r="O308" s="449">
        <f t="shared" si="85"/>
        <v>0.8</v>
      </c>
      <c r="P308" s="449">
        <f t="shared" si="85"/>
        <v>0.8</v>
      </c>
    </row>
    <row r="309" spans="1:17" x14ac:dyDescent="0.25">
      <c r="A309" s="6"/>
      <c r="B309" s="9"/>
      <c r="C309" s="6"/>
      <c r="D309" s="21" t="s">
        <v>129</v>
      </c>
      <c r="E309" s="24">
        <f>'Изходни данни'!C18</f>
        <v>0</v>
      </c>
      <c r="F309" s="24">
        <f>'Изходни данни'!D18</f>
        <v>20000</v>
      </c>
      <c r="G309" s="24">
        <f>'Изходни данни'!E18</f>
        <v>20000</v>
      </c>
      <c r="H309" s="24">
        <f>'Изходни данни'!F18</f>
        <v>20000</v>
      </c>
      <c r="I309" s="24">
        <f>'Изходни данни'!G18</f>
        <v>20000</v>
      </c>
      <c r="J309" s="24">
        <f>'Изходни данни'!H18</f>
        <v>20000</v>
      </c>
      <c r="K309" s="24">
        <f>'Изходни данни'!I18</f>
        <v>20000</v>
      </c>
      <c r="L309" s="24">
        <f>'Изходни данни'!J18</f>
        <v>20000</v>
      </c>
      <c r="M309" s="24">
        <f>'Изходни данни'!K18</f>
        <v>20000</v>
      </c>
      <c r="N309" s="24">
        <f>'Изходни данни'!L18</f>
        <v>20000</v>
      </c>
      <c r="O309" s="24">
        <f>'Изходни данни'!M18</f>
        <v>20000</v>
      </c>
      <c r="P309" s="24">
        <f>'Изходни данни'!N18</f>
        <v>20000</v>
      </c>
    </row>
    <row r="310" spans="1:17" x14ac:dyDescent="0.25">
      <c r="A310" s="155" t="s">
        <v>18</v>
      </c>
      <c r="B310" s="9"/>
      <c r="C310" s="4"/>
      <c r="D310" s="296"/>
      <c r="E310" s="449">
        <f t="shared" ref="E310:P310" si="86">IF(E311=0,0,E311/E$8)</f>
        <v>0</v>
      </c>
      <c r="F310" s="449">
        <f t="shared" si="86"/>
        <v>0.2</v>
      </c>
      <c r="G310" s="449">
        <f t="shared" si="86"/>
        <v>0.2</v>
      </c>
      <c r="H310" s="449">
        <f t="shared" si="86"/>
        <v>0.2</v>
      </c>
      <c r="I310" s="449">
        <f t="shared" si="86"/>
        <v>0.2</v>
      </c>
      <c r="J310" s="449">
        <f t="shared" si="86"/>
        <v>0.2</v>
      </c>
      <c r="K310" s="449">
        <f t="shared" si="86"/>
        <v>0.2</v>
      </c>
      <c r="L310" s="449">
        <f t="shared" si="86"/>
        <v>0.2</v>
      </c>
      <c r="M310" s="449">
        <f t="shared" si="86"/>
        <v>0.2</v>
      </c>
      <c r="N310" s="449">
        <f t="shared" si="86"/>
        <v>0.2</v>
      </c>
      <c r="O310" s="449">
        <f t="shared" si="86"/>
        <v>0.2</v>
      </c>
      <c r="P310" s="449">
        <f t="shared" si="86"/>
        <v>0.2</v>
      </c>
    </row>
    <row r="311" spans="1:17" x14ac:dyDescent="0.25">
      <c r="A311" s="6"/>
      <c r="B311" s="6"/>
      <c r="C311" s="6"/>
      <c r="D311" s="21" t="s">
        <v>129</v>
      </c>
      <c r="E311" s="24">
        <f>'Изходни данни'!C14</f>
        <v>0</v>
      </c>
      <c r="F311" s="24">
        <f>'Изходни данни'!D14</f>
        <v>5000</v>
      </c>
      <c r="G311" s="24">
        <f>'Изходни данни'!E14</f>
        <v>5000</v>
      </c>
      <c r="H311" s="24">
        <f>'Изходни данни'!F14</f>
        <v>5000</v>
      </c>
      <c r="I311" s="24">
        <f>'Изходни данни'!G14</f>
        <v>5000</v>
      </c>
      <c r="J311" s="24">
        <f>'Изходни данни'!H14</f>
        <v>5000</v>
      </c>
      <c r="K311" s="24">
        <f>'Изходни данни'!I14</f>
        <v>5000</v>
      </c>
      <c r="L311" s="24">
        <f>'Изходни данни'!J14</f>
        <v>5000</v>
      </c>
      <c r="M311" s="24">
        <f>'Изходни данни'!K14</f>
        <v>5000</v>
      </c>
      <c r="N311" s="24">
        <f>'Изходни данни'!L14</f>
        <v>5000</v>
      </c>
      <c r="O311" s="24">
        <f>'Изходни данни'!M14</f>
        <v>5000</v>
      </c>
      <c r="P311" s="24">
        <f>'Изходни данни'!N14</f>
        <v>5000</v>
      </c>
    </row>
    <row r="312" spans="1:17" x14ac:dyDescent="0.25">
      <c r="A312" s="155" t="str">
        <f>A255</f>
        <v>Цели за разделно събиране за отпадъците от домакинствата, % от образуваните отпадъци от обхванатото население</v>
      </c>
      <c r="B312" s="12"/>
      <c r="C312" s="14"/>
      <c r="D312" s="292"/>
      <c r="E312" s="30"/>
      <c r="F312" s="30"/>
      <c r="G312" s="30"/>
      <c r="H312" s="30"/>
      <c r="I312" s="30"/>
      <c r="J312" s="30"/>
      <c r="K312" s="30"/>
      <c r="L312" s="30"/>
      <c r="M312" s="23"/>
      <c r="N312" s="23"/>
      <c r="O312" s="23"/>
      <c r="P312" s="23"/>
    </row>
    <row r="313" spans="1:17" x14ac:dyDescent="0.25">
      <c r="A313" s="7" t="s">
        <v>0</v>
      </c>
      <c r="B313" s="9"/>
      <c r="C313" s="14"/>
      <c r="D313" s="292" t="s">
        <v>19</v>
      </c>
      <c r="E313" s="30">
        <f>'Изходни данни'!C129</f>
        <v>1</v>
      </c>
      <c r="F313" s="30">
        <f>'Изходни данни'!D129</f>
        <v>1</v>
      </c>
      <c r="G313" s="30">
        <f>'Изходни данни'!E129</f>
        <v>1</v>
      </c>
      <c r="H313" s="30">
        <f>'Изходни данни'!F129</f>
        <v>1</v>
      </c>
      <c r="I313" s="30">
        <f>'Изходни данни'!G129</f>
        <v>1</v>
      </c>
      <c r="J313" s="30">
        <f>'Изходни данни'!H129</f>
        <v>1</v>
      </c>
      <c r="K313" s="30">
        <f>'Изходни данни'!I129</f>
        <v>1</v>
      </c>
      <c r="L313" s="30">
        <f>'Изходни данни'!J129</f>
        <v>1</v>
      </c>
      <c r="M313" s="30">
        <f>'Изходни данни'!K129</f>
        <v>1</v>
      </c>
      <c r="N313" s="30">
        <f>'Изходни данни'!L129</f>
        <v>1</v>
      </c>
      <c r="O313" s="30">
        <f>'Изходни данни'!M129</f>
        <v>1</v>
      </c>
      <c r="P313" s="30">
        <f>'Изходни данни'!N129</f>
        <v>1</v>
      </c>
      <c r="Q313" s="21"/>
    </row>
    <row r="314" spans="1:17" x14ac:dyDescent="0.25">
      <c r="A314" s="5" t="s">
        <v>1</v>
      </c>
      <c r="B314" s="14">
        <f>'Изходни данни'!C146</f>
        <v>0.4</v>
      </c>
      <c r="C314" s="448" t="str">
        <f t="shared" ref="C314:C319" si="87">C257</f>
        <v>отпадъци от опаковки</v>
      </c>
      <c r="D314" s="292" t="s">
        <v>19</v>
      </c>
      <c r="E314" s="30">
        <f>'Изходни данни'!C130</f>
        <v>0.7</v>
      </c>
      <c r="F314" s="30">
        <f>'Изходни данни'!D130</f>
        <v>0.7</v>
      </c>
      <c r="G314" s="30">
        <f>'Изходни данни'!E130</f>
        <v>0.7</v>
      </c>
      <c r="H314" s="30">
        <f>'Изходни данни'!F130</f>
        <v>0.7</v>
      </c>
      <c r="I314" s="30">
        <f>'Изходни данни'!G130</f>
        <v>0.7</v>
      </c>
      <c r="J314" s="30">
        <f>'Изходни данни'!H130</f>
        <v>0.7</v>
      </c>
      <c r="K314" s="30">
        <f>'Изходни данни'!I130</f>
        <v>0.7</v>
      </c>
      <c r="L314" s="30">
        <f>'Изходни данни'!J130</f>
        <v>0.7</v>
      </c>
      <c r="M314" s="30">
        <f>'Изходни данни'!K130</f>
        <v>0.7</v>
      </c>
      <c r="N314" s="30">
        <f>'Изходни данни'!L130</f>
        <v>0.7</v>
      </c>
      <c r="O314" s="30">
        <f>'Изходни данни'!M130</f>
        <v>0.7</v>
      </c>
      <c r="P314" s="30">
        <f>'Изходни данни'!N130</f>
        <v>0.7</v>
      </c>
      <c r="Q314" s="21"/>
    </row>
    <row r="315" spans="1:17" x14ac:dyDescent="0.25">
      <c r="A315" s="5" t="s">
        <v>2</v>
      </c>
      <c r="B315" s="14">
        <f>'Изходни данни'!C147</f>
        <v>0.95</v>
      </c>
      <c r="C315" s="448" t="str">
        <f t="shared" si="87"/>
        <v>отпадъци от опаковки</v>
      </c>
      <c r="D315" s="292" t="s">
        <v>19</v>
      </c>
      <c r="E315" s="30">
        <f>'Изходни данни'!C131</f>
        <v>0.8</v>
      </c>
      <c r="F315" s="30">
        <f>'Изходни данни'!D131</f>
        <v>0.8</v>
      </c>
      <c r="G315" s="30">
        <f>'Изходни данни'!E131</f>
        <v>0.8</v>
      </c>
      <c r="H315" s="30">
        <f>'Изходни данни'!F131</f>
        <v>0.8</v>
      </c>
      <c r="I315" s="30">
        <f>'Изходни данни'!G131</f>
        <v>0.8</v>
      </c>
      <c r="J315" s="30">
        <f>'Изходни данни'!H131</f>
        <v>0.8</v>
      </c>
      <c r="K315" s="30">
        <f>'Изходни данни'!I131</f>
        <v>0.8</v>
      </c>
      <c r="L315" s="30">
        <f>'Изходни данни'!J131</f>
        <v>0.8</v>
      </c>
      <c r="M315" s="30">
        <f>'Изходни данни'!K131</f>
        <v>0.8</v>
      </c>
      <c r="N315" s="30">
        <f>'Изходни данни'!L131</f>
        <v>0.8</v>
      </c>
      <c r="O315" s="30">
        <f>'Изходни данни'!M131</f>
        <v>0.8</v>
      </c>
      <c r="P315" s="30">
        <f>'Изходни данни'!N131</f>
        <v>0.8</v>
      </c>
      <c r="Q315" s="21"/>
    </row>
    <row r="316" spans="1:17" x14ac:dyDescent="0.25">
      <c r="A316" s="5" t="s">
        <v>3</v>
      </c>
      <c r="B316" s="14">
        <f>'Изходни данни'!C148</f>
        <v>0.95</v>
      </c>
      <c r="C316" s="448" t="str">
        <f t="shared" si="87"/>
        <v>отпадъци от опаковки</v>
      </c>
      <c r="D316" s="292" t="s">
        <v>19</v>
      </c>
      <c r="E316" s="30">
        <f>'Изходни данни'!C132</f>
        <v>0.5</v>
      </c>
      <c r="F316" s="30">
        <f>'Изходни данни'!D132</f>
        <v>0.5</v>
      </c>
      <c r="G316" s="30">
        <f>'Изходни данни'!E132</f>
        <v>0.5</v>
      </c>
      <c r="H316" s="30">
        <f>'Изходни данни'!F132</f>
        <v>0.5</v>
      </c>
      <c r="I316" s="30">
        <f>'Изходни данни'!G132</f>
        <v>0.5</v>
      </c>
      <c r="J316" s="30">
        <f>'Изходни данни'!H132</f>
        <v>0.5</v>
      </c>
      <c r="K316" s="30">
        <f>'Изходни данни'!I132</f>
        <v>0.5</v>
      </c>
      <c r="L316" s="30">
        <f>'Изходни данни'!J132</f>
        <v>0.5</v>
      </c>
      <c r="M316" s="30">
        <f>'Изходни данни'!K132</f>
        <v>0.5</v>
      </c>
      <c r="N316" s="30">
        <f>'Изходни данни'!L132</f>
        <v>0.5</v>
      </c>
      <c r="O316" s="30">
        <f>'Изходни данни'!M132</f>
        <v>0.5</v>
      </c>
      <c r="P316" s="30">
        <f>'Изходни данни'!N132</f>
        <v>0.5</v>
      </c>
      <c r="Q316" s="21"/>
    </row>
    <row r="317" spans="1:17" x14ac:dyDescent="0.25">
      <c r="A317" s="5" t="s">
        <v>12</v>
      </c>
      <c r="B317" s="14"/>
      <c r="C317" s="448" t="str">
        <f t="shared" si="87"/>
        <v>отпадъци от опаковки</v>
      </c>
      <c r="D317" s="292" t="s">
        <v>19</v>
      </c>
      <c r="E317" s="30">
        <f>'Изходни данни'!C133</f>
        <v>1</v>
      </c>
      <c r="F317" s="30">
        <f>'Изходни данни'!D133</f>
        <v>1</v>
      </c>
      <c r="G317" s="30">
        <f>'Изходни данни'!E133</f>
        <v>1</v>
      </c>
      <c r="H317" s="30">
        <f>'Изходни данни'!F133</f>
        <v>1</v>
      </c>
      <c r="I317" s="30">
        <f>'Изходни данни'!G133</f>
        <v>1</v>
      </c>
      <c r="J317" s="30">
        <f>'Изходни данни'!H133</f>
        <v>1</v>
      </c>
      <c r="K317" s="30">
        <f>'Изходни данни'!I133</f>
        <v>1</v>
      </c>
      <c r="L317" s="30">
        <f>'Изходни данни'!J133</f>
        <v>1</v>
      </c>
      <c r="M317" s="30">
        <f>'Изходни данни'!K133</f>
        <v>1</v>
      </c>
      <c r="N317" s="30">
        <f>'Изходни данни'!L133</f>
        <v>1</v>
      </c>
      <c r="O317" s="30">
        <f>'Изходни данни'!M133</f>
        <v>1</v>
      </c>
      <c r="P317" s="30">
        <f>'Изходни данни'!N133</f>
        <v>1</v>
      </c>
      <c r="Q317" s="21"/>
    </row>
    <row r="318" spans="1:17" x14ac:dyDescent="0.25">
      <c r="A318" s="5" t="s">
        <v>7</v>
      </c>
      <c r="B318" s="14">
        <f>'Изходни данни'!C149</f>
        <v>1</v>
      </c>
      <c r="C318" s="448" t="str">
        <f t="shared" si="87"/>
        <v>отпадъци от опаковки</v>
      </c>
      <c r="D318" s="292" t="s">
        <v>19</v>
      </c>
      <c r="E318" s="30">
        <f>'Изходни данни'!C134</f>
        <v>0.75</v>
      </c>
      <c r="F318" s="30">
        <f>'Изходни данни'!D134</f>
        <v>0.75</v>
      </c>
      <c r="G318" s="30">
        <f>'Изходни данни'!E134</f>
        <v>0.75</v>
      </c>
      <c r="H318" s="30">
        <f>'Изходни данни'!F134</f>
        <v>0.75</v>
      </c>
      <c r="I318" s="30">
        <f>'Изходни данни'!G134</f>
        <v>0.75</v>
      </c>
      <c r="J318" s="30">
        <f>'Изходни данни'!H134</f>
        <v>0.75</v>
      </c>
      <c r="K318" s="30">
        <f>'Изходни данни'!I134</f>
        <v>0.75</v>
      </c>
      <c r="L318" s="30">
        <f>'Изходни данни'!J134</f>
        <v>0.75</v>
      </c>
      <c r="M318" s="30">
        <f>'Изходни данни'!K134</f>
        <v>0.75</v>
      </c>
      <c r="N318" s="30">
        <f>'Изходни данни'!L134</f>
        <v>0.75</v>
      </c>
      <c r="O318" s="30">
        <f>'Изходни данни'!M134</f>
        <v>0.75</v>
      </c>
      <c r="P318" s="30">
        <f>'Изходни данни'!N134</f>
        <v>0.75</v>
      </c>
      <c r="Q318" s="21"/>
    </row>
    <row r="319" spans="1:17" x14ac:dyDescent="0.25">
      <c r="A319" s="5" t="s">
        <v>8</v>
      </c>
      <c r="B319" s="14">
        <f>'Изходни данни'!C150</f>
        <v>0.9</v>
      </c>
      <c r="C319" s="448" t="str">
        <f t="shared" si="87"/>
        <v>отпадъци от опаковки</v>
      </c>
      <c r="D319" s="292" t="s">
        <v>19</v>
      </c>
      <c r="E319" s="30">
        <f>'Изходни данни'!C135</f>
        <v>0.75</v>
      </c>
      <c r="F319" s="30">
        <f>'Изходни данни'!D135</f>
        <v>0.75</v>
      </c>
      <c r="G319" s="30">
        <f>'Изходни данни'!E135</f>
        <v>0.75</v>
      </c>
      <c r="H319" s="30">
        <f>'Изходни данни'!F135</f>
        <v>0.75</v>
      </c>
      <c r="I319" s="30">
        <f>'Изходни данни'!G135</f>
        <v>0.75</v>
      </c>
      <c r="J319" s="30">
        <f>'Изходни данни'!H135</f>
        <v>0.75</v>
      </c>
      <c r="K319" s="30">
        <f>'Изходни данни'!I135</f>
        <v>0.75</v>
      </c>
      <c r="L319" s="30">
        <f>'Изходни данни'!J135</f>
        <v>0.75</v>
      </c>
      <c r="M319" s="30">
        <f>'Изходни данни'!K135</f>
        <v>0.75</v>
      </c>
      <c r="N319" s="30">
        <f>'Изходни данни'!L135</f>
        <v>0.75</v>
      </c>
      <c r="O319" s="30">
        <f>'Изходни данни'!M135</f>
        <v>0.75</v>
      </c>
      <c r="P319" s="30">
        <f>'Изходни данни'!N135</f>
        <v>0.75</v>
      </c>
      <c r="Q319" s="21"/>
    </row>
    <row r="320" spans="1:17" x14ac:dyDescent="0.25">
      <c r="A320" s="9"/>
      <c r="B320" s="4"/>
      <c r="C320" s="4"/>
      <c r="D320" s="79"/>
      <c r="E320" s="23"/>
      <c r="F320" s="23"/>
      <c r="G320" s="23"/>
      <c r="H320" s="23"/>
      <c r="I320" s="23"/>
      <c r="J320" s="23"/>
      <c r="K320" s="23"/>
      <c r="L320" s="23"/>
      <c r="M320" s="23"/>
      <c r="N320" s="23"/>
      <c r="O320" s="23"/>
      <c r="P320" s="23"/>
      <c r="Q320" s="21"/>
    </row>
    <row r="321" spans="1:17" x14ac:dyDescent="0.25">
      <c r="A321" s="155" t="str">
        <f>A264</f>
        <v>Брой контейнери са разделно събиране на една площадка</v>
      </c>
      <c r="B321" s="12">
        <f>Допускания!C5</f>
        <v>3</v>
      </c>
      <c r="C321" s="14"/>
      <c r="E321" s="24"/>
      <c r="F321" s="24"/>
      <c r="G321" s="24"/>
      <c r="H321" s="24"/>
      <c r="I321" s="24"/>
      <c r="J321" s="24"/>
      <c r="K321" s="24"/>
      <c r="L321" s="24"/>
      <c r="M321" s="23"/>
      <c r="N321" s="23"/>
      <c r="O321" s="23"/>
      <c r="P321" s="23"/>
      <c r="Q321" s="21"/>
    </row>
    <row r="322" spans="1:17" x14ac:dyDescent="0.25">
      <c r="A322" s="4"/>
      <c r="B322" s="12"/>
      <c r="C322" s="14"/>
      <c r="D322" s="292"/>
      <c r="E322" s="24"/>
      <c r="F322" s="24"/>
      <c r="G322" s="24"/>
      <c r="H322" s="24"/>
      <c r="I322" s="24"/>
      <c r="J322" s="24"/>
      <c r="K322" s="24"/>
      <c r="L322" s="24"/>
      <c r="M322" s="24"/>
      <c r="N322" s="24"/>
      <c r="O322" s="24"/>
      <c r="P322" s="24"/>
      <c r="Q322" s="21"/>
    </row>
    <row r="323" spans="1:17" x14ac:dyDescent="0.25">
      <c r="A323" s="155" t="s">
        <v>96</v>
      </c>
      <c r="B323" s="12"/>
      <c r="C323" s="14"/>
      <c r="D323" s="292"/>
      <c r="E323" s="24"/>
      <c r="F323" s="24"/>
      <c r="G323" s="24"/>
      <c r="H323" s="24"/>
      <c r="I323" s="24"/>
      <c r="J323" s="24"/>
      <c r="K323" s="24"/>
      <c r="L323" s="24"/>
      <c r="M323" s="24"/>
      <c r="N323" s="24"/>
      <c r="O323" s="24"/>
      <c r="P323" s="24"/>
      <c r="Q323" s="21"/>
    </row>
    <row r="324" spans="1:17" x14ac:dyDescent="0.25">
      <c r="A324" s="3" t="s">
        <v>97</v>
      </c>
      <c r="B324" s="12" t="s">
        <v>95</v>
      </c>
      <c r="C324" s="14"/>
      <c r="D324" s="292" t="s">
        <v>22</v>
      </c>
      <c r="E324" s="24">
        <f>E327+E337</f>
        <v>1271.9109375000003</v>
      </c>
      <c r="F324" s="24">
        <f t="shared" ref="F324:P324" si="88">F327+F337</f>
        <v>1271.9109375000003</v>
      </c>
      <c r="G324" s="24">
        <f t="shared" si="88"/>
        <v>1271.9109375000003</v>
      </c>
      <c r="H324" s="24">
        <f t="shared" si="88"/>
        <v>1271.9109375000003</v>
      </c>
      <c r="I324" s="24">
        <f t="shared" si="88"/>
        <v>1271.9109375000003</v>
      </c>
      <c r="J324" s="24">
        <f t="shared" si="88"/>
        <v>1271.9109375000003</v>
      </c>
      <c r="K324" s="24">
        <f t="shared" si="88"/>
        <v>1271.9109375000003</v>
      </c>
      <c r="L324" s="24">
        <f t="shared" si="88"/>
        <v>1271.9109375000003</v>
      </c>
      <c r="M324" s="24">
        <f t="shared" si="88"/>
        <v>1271.9109375000003</v>
      </c>
      <c r="N324" s="24">
        <f t="shared" si="88"/>
        <v>1271.9109375000003</v>
      </c>
      <c r="O324" s="24">
        <f t="shared" si="88"/>
        <v>1271.9109375000003</v>
      </c>
      <c r="P324" s="24">
        <f t="shared" si="88"/>
        <v>1271.9109375000003</v>
      </c>
      <c r="Q324" s="21"/>
    </row>
    <row r="325" spans="1:17" x14ac:dyDescent="0.25">
      <c r="A325" s="3" t="s">
        <v>98</v>
      </c>
      <c r="B325" s="12"/>
      <c r="C325" s="14"/>
      <c r="D325" s="292" t="s">
        <v>157</v>
      </c>
      <c r="E325" s="31">
        <f t="shared" ref="E325:P325" si="89">IF(E324=0,0,(E328*$C328+E329*$C329+E330*$C330+E331*$C331+E332*$C332+E333*$C333+E334*$C334+E335*$C335+E337*$C337)/E324)</f>
        <v>6.8177987599858977E-2</v>
      </c>
      <c r="F325" s="31">
        <f t="shared" si="89"/>
        <v>6.8177987599858977E-2</v>
      </c>
      <c r="G325" s="31">
        <f t="shared" si="89"/>
        <v>6.8177987599858977E-2</v>
      </c>
      <c r="H325" s="31">
        <f t="shared" si="89"/>
        <v>6.8177987599858977E-2</v>
      </c>
      <c r="I325" s="31">
        <f t="shared" si="89"/>
        <v>6.8177987599858977E-2</v>
      </c>
      <c r="J325" s="31">
        <f t="shared" si="89"/>
        <v>6.8177987599858977E-2</v>
      </c>
      <c r="K325" s="31">
        <f t="shared" si="89"/>
        <v>6.8177987599858977E-2</v>
      </c>
      <c r="L325" s="31">
        <f t="shared" si="89"/>
        <v>6.8177987599858977E-2</v>
      </c>
      <c r="M325" s="31">
        <f t="shared" si="89"/>
        <v>6.8177987599858977E-2</v>
      </c>
      <c r="N325" s="31">
        <f t="shared" si="89"/>
        <v>6.8177987599858977E-2</v>
      </c>
      <c r="O325" s="31">
        <f t="shared" si="89"/>
        <v>6.8177987599858977E-2</v>
      </c>
      <c r="P325" s="31">
        <f t="shared" si="89"/>
        <v>6.8177987599858977E-2</v>
      </c>
      <c r="Q325" s="21"/>
    </row>
    <row r="326" spans="1:17" x14ac:dyDescent="0.25">
      <c r="A326" s="3" t="s">
        <v>99</v>
      </c>
      <c r="B326" s="12"/>
      <c r="C326" s="14"/>
      <c r="D326" s="292" t="s">
        <v>158</v>
      </c>
      <c r="E326" s="24">
        <f t="shared" ref="E326:P326" si="90">IF(E307=0,0,E324*1000/E307)</f>
        <v>50.876437500000009</v>
      </c>
      <c r="F326" s="24">
        <f t="shared" si="90"/>
        <v>50.876437500000009</v>
      </c>
      <c r="G326" s="24">
        <f t="shared" si="90"/>
        <v>50.876437500000009</v>
      </c>
      <c r="H326" s="24">
        <f t="shared" si="90"/>
        <v>50.876437500000009</v>
      </c>
      <c r="I326" s="24">
        <f t="shared" si="90"/>
        <v>50.876437500000009</v>
      </c>
      <c r="J326" s="24">
        <f t="shared" si="90"/>
        <v>50.876437500000009</v>
      </c>
      <c r="K326" s="24">
        <f t="shared" si="90"/>
        <v>50.876437500000009</v>
      </c>
      <c r="L326" s="24">
        <f t="shared" si="90"/>
        <v>50.876437500000009</v>
      </c>
      <c r="M326" s="24">
        <f t="shared" si="90"/>
        <v>50.876437500000009</v>
      </c>
      <c r="N326" s="24">
        <f t="shared" si="90"/>
        <v>50.876437500000009</v>
      </c>
      <c r="O326" s="24">
        <f t="shared" si="90"/>
        <v>50.876437500000009</v>
      </c>
      <c r="P326" s="24">
        <f t="shared" si="90"/>
        <v>50.876437500000009</v>
      </c>
      <c r="Q326" s="21"/>
    </row>
    <row r="327" spans="1:17" x14ac:dyDescent="0.25">
      <c r="A327" s="3" t="s">
        <v>136</v>
      </c>
      <c r="B327" s="12"/>
      <c r="C327" s="14"/>
      <c r="D327" s="292" t="s">
        <v>22</v>
      </c>
      <c r="E327" s="24">
        <f>SUM(E328:E335)</f>
        <v>942.15625000000011</v>
      </c>
      <c r="F327" s="24">
        <f t="shared" ref="F327:P327" si="91">SUM(F328:F335)</f>
        <v>942.15625000000011</v>
      </c>
      <c r="G327" s="24">
        <f t="shared" si="91"/>
        <v>942.15625000000011</v>
      </c>
      <c r="H327" s="24">
        <f t="shared" si="91"/>
        <v>942.15625000000011</v>
      </c>
      <c r="I327" s="24">
        <f t="shared" si="91"/>
        <v>942.15625000000011</v>
      </c>
      <c r="J327" s="24">
        <f t="shared" si="91"/>
        <v>942.15625000000011</v>
      </c>
      <c r="K327" s="24">
        <f t="shared" si="91"/>
        <v>942.15625000000011</v>
      </c>
      <c r="L327" s="24">
        <f t="shared" si="91"/>
        <v>942.15625000000011</v>
      </c>
      <c r="M327" s="24">
        <f t="shared" si="91"/>
        <v>942.15625000000011</v>
      </c>
      <c r="N327" s="24">
        <f t="shared" si="91"/>
        <v>942.15625000000011</v>
      </c>
      <c r="O327" s="24">
        <f t="shared" si="91"/>
        <v>942.15625000000011</v>
      </c>
      <c r="P327" s="24">
        <f t="shared" si="91"/>
        <v>942.15625000000011</v>
      </c>
      <c r="Q327" s="21"/>
    </row>
    <row r="328" spans="1:17" s="39" customFormat="1" x14ac:dyDescent="0.25">
      <c r="A328" s="34" t="s">
        <v>100</v>
      </c>
      <c r="B328" s="446" t="str">
        <f>B271</f>
        <v>тона/м3</v>
      </c>
      <c r="C328" s="442">
        <f>C271</f>
        <v>0.08</v>
      </c>
      <c r="D328" s="299" t="s">
        <v>22</v>
      </c>
      <c r="E328" s="37">
        <f t="shared" ref="E328:P328" si="92">IF($B$321=2,E307*((E213*E314*$B314)+(E315*$B315*E214))/1000,0)</f>
        <v>0</v>
      </c>
      <c r="F328" s="37">
        <f t="shared" si="92"/>
        <v>0</v>
      </c>
      <c r="G328" s="37">
        <f t="shared" si="92"/>
        <v>0</v>
      </c>
      <c r="H328" s="37">
        <f t="shared" si="92"/>
        <v>0</v>
      </c>
      <c r="I328" s="37">
        <f t="shared" si="92"/>
        <v>0</v>
      </c>
      <c r="J328" s="37">
        <f t="shared" si="92"/>
        <v>0</v>
      </c>
      <c r="K328" s="37">
        <f t="shared" si="92"/>
        <v>0</v>
      </c>
      <c r="L328" s="37">
        <f t="shared" si="92"/>
        <v>0</v>
      </c>
      <c r="M328" s="37">
        <f t="shared" si="92"/>
        <v>0</v>
      </c>
      <c r="N328" s="37">
        <f t="shared" si="92"/>
        <v>0</v>
      </c>
      <c r="O328" s="37">
        <f t="shared" si="92"/>
        <v>0</v>
      </c>
      <c r="P328" s="37">
        <f t="shared" si="92"/>
        <v>0</v>
      </c>
      <c r="Q328" s="38"/>
    </row>
    <row r="329" spans="1:17" s="39" customFormat="1" x14ac:dyDescent="0.25">
      <c r="A329" s="34" t="s">
        <v>101</v>
      </c>
      <c r="B329" s="446" t="str">
        <f t="shared" ref="B329:B337" si="93">B272</f>
        <v>тона/м3</v>
      </c>
      <c r="C329" s="442">
        <f t="shared" ref="C329:C337" si="94">C272</f>
        <v>0.08</v>
      </c>
      <c r="D329" s="299" t="s">
        <v>22</v>
      </c>
      <c r="E329" s="37">
        <f>IF($B$321=2,IF(E307=0,0,E153*'Изходни данни'!C138+'Изходни данни'!C139*E154),0)</f>
        <v>0</v>
      </c>
      <c r="F329" s="37">
        <f>IF($B$321=2,IF(F307=0,0,F153*'Изходни данни'!D138+'Изходни данни'!D139*F154),0)</f>
        <v>0</v>
      </c>
      <c r="G329" s="37">
        <f>IF($B$321=2,IF(G307=0,0,G153*'Изходни данни'!E138+'Изходни данни'!E139*G154),0)</f>
        <v>0</v>
      </c>
      <c r="H329" s="37">
        <f>IF($B$321=2,IF(H307=0,0,H153*'Изходни данни'!F138+'Изходни данни'!F139*H154),0)</f>
        <v>0</v>
      </c>
      <c r="I329" s="37">
        <f>IF($B$321=2,IF(I307=0,0,I153*'Изходни данни'!G138+'Изходни данни'!G139*I154),0)</f>
        <v>0</v>
      </c>
      <c r="J329" s="37">
        <f>IF($B$321=2,IF(J307=0,0,J153*'Изходни данни'!H138+'Изходни данни'!H139*J154),0)</f>
        <v>0</v>
      </c>
      <c r="K329" s="37">
        <f>IF($B$321=2,IF(K307=0,0,K153*'Изходни данни'!I138+'Изходни данни'!I139*K154),0)</f>
        <v>0</v>
      </c>
      <c r="L329" s="37">
        <f>IF($B$321=2,IF(L307=0,0,L153*'Изходни данни'!J138+'Изходни данни'!J139*L154),0)</f>
        <v>0</v>
      </c>
      <c r="M329" s="37">
        <f>IF($B$321=2,IF(M307=0,0,M153*'Изходни данни'!K138+'Изходни данни'!K139*M154),0)</f>
        <v>0</v>
      </c>
      <c r="N329" s="37">
        <f>IF($B$321=2,IF(N307=0,0,N153*'Изходни данни'!L138+'Изходни данни'!L139*N154),0)</f>
        <v>0</v>
      </c>
      <c r="O329" s="37">
        <f>IF($B$321=2,IF(O307=0,0,O153*'Изходни данни'!M138+'Изходни данни'!M139*O154),0)</f>
        <v>0</v>
      </c>
      <c r="P329" s="37">
        <f>IF($B$321=2,IF(P307=0,0,P153*'Изходни данни'!N138+'Изходни данни'!N139*P154),0)</f>
        <v>0</v>
      </c>
      <c r="Q329" s="38"/>
    </row>
    <row r="330" spans="1:17" s="39" customFormat="1" x14ac:dyDescent="0.25">
      <c r="A330" s="34" t="s">
        <v>102</v>
      </c>
      <c r="B330" s="446" t="str">
        <f t="shared" si="93"/>
        <v>тона/м3</v>
      </c>
      <c r="C330" s="442">
        <f t="shared" si="94"/>
        <v>0.08</v>
      </c>
      <c r="D330" s="299" t="s">
        <v>22</v>
      </c>
      <c r="E330" s="37">
        <f t="shared" ref="E330:P330" si="95">IF($B$321=2,E307*((E213*E314*(1-$B314))+(E315*(1-$B315)*E214))/1000,0)</f>
        <v>0</v>
      </c>
      <c r="F330" s="37">
        <f t="shared" si="95"/>
        <v>0</v>
      </c>
      <c r="G330" s="37">
        <f t="shared" si="95"/>
        <v>0</v>
      </c>
      <c r="H330" s="37">
        <f t="shared" si="95"/>
        <v>0</v>
      </c>
      <c r="I330" s="37">
        <f t="shared" si="95"/>
        <v>0</v>
      </c>
      <c r="J330" s="37">
        <f t="shared" si="95"/>
        <v>0</v>
      </c>
      <c r="K330" s="37">
        <f t="shared" si="95"/>
        <v>0</v>
      </c>
      <c r="L330" s="37">
        <f t="shared" si="95"/>
        <v>0</v>
      </c>
      <c r="M330" s="37">
        <f t="shared" si="95"/>
        <v>0</v>
      </c>
      <c r="N330" s="37">
        <f t="shared" si="95"/>
        <v>0</v>
      </c>
      <c r="O330" s="37">
        <f t="shared" si="95"/>
        <v>0</v>
      </c>
      <c r="P330" s="37">
        <f t="shared" si="95"/>
        <v>0</v>
      </c>
      <c r="Q330" s="38"/>
    </row>
    <row r="331" spans="1:17" s="39" customFormat="1" x14ac:dyDescent="0.25">
      <c r="A331" s="34" t="s">
        <v>103</v>
      </c>
      <c r="B331" s="446" t="str">
        <f t="shared" si="93"/>
        <v>тона/м3</v>
      </c>
      <c r="C331" s="442">
        <f t="shared" si="94"/>
        <v>2.5000000000000001E-2</v>
      </c>
      <c r="D331" s="299" t="s">
        <v>22</v>
      </c>
      <c r="E331" s="37">
        <f t="shared" ref="E331:P331" si="96">E307*E215*E316*$B316/1000</f>
        <v>581.87500000000011</v>
      </c>
      <c r="F331" s="37">
        <f t="shared" si="96"/>
        <v>581.87500000000011</v>
      </c>
      <c r="G331" s="37">
        <f t="shared" si="96"/>
        <v>581.87500000000011</v>
      </c>
      <c r="H331" s="37">
        <f t="shared" si="96"/>
        <v>581.87500000000011</v>
      </c>
      <c r="I331" s="37">
        <f t="shared" si="96"/>
        <v>581.87500000000011</v>
      </c>
      <c r="J331" s="37">
        <f t="shared" si="96"/>
        <v>581.87500000000011</v>
      </c>
      <c r="K331" s="37">
        <f t="shared" si="96"/>
        <v>581.87500000000011</v>
      </c>
      <c r="L331" s="37">
        <f t="shared" si="96"/>
        <v>581.87500000000011</v>
      </c>
      <c r="M331" s="37">
        <f t="shared" si="96"/>
        <v>581.87500000000011</v>
      </c>
      <c r="N331" s="37">
        <f t="shared" si="96"/>
        <v>581.87500000000011</v>
      </c>
      <c r="O331" s="37">
        <f t="shared" si="96"/>
        <v>581.87500000000011</v>
      </c>
      <c r="P331" s="37">
        <f t="shared" si="96"/>
        <v>581.87500000000011</v>
      </c>
      <c r="Q331" s="38"/>
    </row>
    <row r="332" spans="1:17" s="39" customFormat="1" ht="30" x14ac:dyDescent="0.25">
      <c r="A332" s="34" t="s">
        <v>104</v>
      </c>
      <c r="B332" s="446" t="str">
        <f t="shared" si="93"/>
        <v>тона/м3</v>
      </c>
      <c r="C332" s="442">
        <f t="shared" si="94"/>
        <v>2.5000000000000001E-2</v>
      </c>
      <c r="D332" s="299" t="s">
        <v>22</v>
      </c>
      <c r="E332" s="37">
        <f>IF(E307=0,0,'Изходни данни'!C140*E155)</f>
        <v>147</v>
      </c>
      <c r="F332" s="37">
        <f>IF(F307=0,0,'Изходни данни'!D140*F155)</f>
        <v>147</v>
      </c>
      <c r="G332" s="37">
        <f>IF(G307=0,0,'Изходни данни'!E140*G155)</f>
        <v>147</v>
      </c>
      <c r="H332" s="37">
        <f>IF(H307=0,0,'Изходни данни'!F140*H155)</f>
        <v>147</v>
      </c>
      <c r="I332" s="37">
        <f>IF(I307=0,0,'Изходни данни'!G140*I155)</f>
        <v>147</v>
      </c>
      <c r="J332" s="37">
        <f>IF(J307=0,0,'Изходни данни'!H140*J155)</f>
        <v>147</v>
      </c>
      <c r="K332" s="37">
        <f>IF(K307=0,0,'Изходни данни'!I140*K155)</f>
        <v>147</v>
      </c>
      <c r="L332" s="37">
        <f>IF(L307=0,0,'Изходни данни'!J140*L155)</f>
        <v>147</v>
      </c>
      <c r="M332" s="37">
        <f>IF(M307=0,0,'Изходни данни'!K140*M155)</f>
        <v>147</v>
      </c>
      <c r="N332" s="37">
        <f>IF(N307=0,0,'Изходни данни'!L140*N155)</f>
        <v>147</v>
      </c>
      <c r="O332" s="37">
        <f>IF(O307=0,0,'Изходни данни'!M140*O155)</f>
        <v>147</v>
      </c>
      <c r="P332" s="37">
        <f>IF(P307=0,0,'Изходни данни'!N140*P155)</f>
        <v>147</v>
      </c>
      <c r="Q332" s="38"/>
    </row>
    <row r="333" spans="1:17" s="39" customFormat="1" x14ac:dyDescent="0.25">
      <c r="A333" s="34" t="s">
        <v>105</v>
      </c>
      <c r="B333" s="446" t="str">
        <f t="shared" si="93"/>
        <v>тона/м3</v>
      </c>
      <c r="C333" s="442">
        <f t="shared" si="94"/>
        <v>2.5000000000000001E-2</v>
      </c>
      <c r="D333" s="299" t="s">
        <v>22</v>
      </c>
      <c r="E333" s="37">
        <f t="shared" ref="E333:P333" si="97">E307*E215*E316*(1-$B316)/1000</f>
        <v>30.625000000000032</v>
      </c>
      <c r="F333" s="37">
        <f t="shared" si="97"/>
        <v>30.625000000000032</v>
      </c>
      <c r="G333" s="37">
        <f t="shared" si="97"/>
        <v>30.625000000000032</v>
      </c>
      <c r="H333" s="37">
        <f t="shared" si="97"/>
        <v>30.625000000000032</v>
      </c>
      <c r="I333" s="37">
        <f t="shared" si="97"/>
        <v>30.625000000000032</v>
      </c>
      <c r="J333" s="37">
        <f t="shared" si="97"/>
        <v>30.625000000000032</v>
      </c>
      <c r="K333" s="37">
        <f t="shared" si="97"/>
        <v>30.625000000000032</v>
      </c>
      <c r="L333" s="37">
        <f t="shared" si="97"/>
        <v>30.625000000000032</v>
      </c>
      <c r="M333" s="37">
        <f t="shared" si="97"/>
        <v>30.625000000000032</v>
      </c>
      <c r="N333" s="37">
        <f t="shared" si="97"/>
        <v>30.625000000000032</v>
      </c>
      <c r="O333" s="37">
        <f t="shared" si="97"/>
        <v>30.625000000000032</v>
      </c>
      <c r="P333" s="37">
        <f t="shared" si="97"/>
        <v>30.625000000000032</v>
      </c>
      <c r="Q333" s="38"/>
    </row>
    <row r="334" spans="1:17" s="39" customFormat="1" x14ac:dyDescent="0.25">
      <c r="A334" s="34" t="s">
        <v>106</v>
      </c>
      <c r="B334" s="446" t="str">
        <f t="shared" si="93"/>
        <v>тона/м3</v>
      </c>
      <c r="C334" s="442">
        <f t="shared" si="94"/>
        <v>0.1</v>
      </c>
      <c r="D334" s="299" t="s">
        <v>22</v>
      </c>
      <c r="E334" s="37">
        <f t="shared" ref="E334:P334" si="98">E307*E222*E319*$B319/1000</f>
        <v>147.65625</v>
      </c>
      <c r="F334" s="37">
        <f t="shared" si="98"/>
        <v>147.65625</v>
      </c>
      <c r="G334" s="37">
        <f t="shared" si="98"/>
        <v>147.65625</v>
      </c>
      <c r="H334" s="37">
        <f t="shared" si="98"/>
        <v>147.65625</v>
      </c>
      <c r="I334" s="37">
        <f t="shared" si="98"/>
        <v>147.65625</v>
      </c>
      <c r="J334" s="37">
        <f t="shared" si="98"/>
        <v>147.65625</v>
      </c>
      <c r="K334" s="37">
        <f t="shared" si="98"/>
        <v>147.65625</v>
      </c>
      <c r="L334" s="37">
        <f t="shared" si="98"/>
        <v>147.65625</v>
      </c>
      <c r="M334" s="37">
        <f t="shared" si="98"/>
        <v>147.65625</v>
      </c>
      <c r="N334" s="37">
        <f t="shared" si="98"/>
        <v>147.65625</v>
      </c>
      <c r="O334" s="37">
        <f t="shared" si="98"/>
        <v>147.65625</v>
      </c>
      <c r="P334" s="37">
        <f t="shared" si="98"/>
        <v>147.65625</v>
      </c>
      <c r="Q334" s="38"/>
    </row>
    <row r="335" spans="1:17" s="39" customFormat="1" x14ac:dyDescent="0.25">
      <c r="A335" s="34" t="s">
        <v>107</v>
      </c>
      <c r="B335" s="446" t="str">
        <f t="shared" si="93"/>
        <v>тона/м3</v>
      </c>
      <c r="C335" s="442">
        <f t="shared" si="94"/>
        <v>0.1</v>
      </c>
      <c r="D335" s="299" t="s">
        <v>22</v>
      </c>
      <c r="E335" s="37">
        <f>IF(E307=0,0,'Изходни данни'!C142*E162)</f>
        <v>35</v>
      </c>
      <c r="F335" s="37">
        <f>IF(F307=0,0,'Изходни данни'!D142*F162)</f>
        <v>35</v>
      </c>
      <c r="G335" s="37">
        <f>IF(G307=0,0,'Изходни данни'!E142*G162)</f>
        <v>35</v>
      </c>
      <c r="H335" s="37">
        <f>IF(H307=0,0,'Изходни данни'!F142*H162)</f>
        <v>35</v>
      </c>
      <c r="I335" s="37">
        <f>IF(I307=0,0,'Изходни данни'!G142*I162)</f>
        <v>35</v>
      </c>
      <c r="J335" s="37">
        <f>IF(J307=0,0,'Изходни данни'!H142*J162)</f>
        <v>35</v>
      </c>
      <c r="K335" s="37">
        <f>IF(K307=0,0,'Изходни данни'!I142*K162)</f>
        <v>35</v>
      </c>
      <c r="L335" s="37">
        <f>IF(L307=0,0,'Изходни данни'!J142*L162)</f>
        <v>35</v>
      </c>
      <c r="M335" s="37">
        <f>IF(M307=0,0,'Изходни данни'!K142*M162)</f>
        <v>35</v>
      </c>
      <c r="N335" s="37">
        <f>IF(N307=0,0,'Изходни данни'!L142*N162)</f>
        <v>35</v>
      </c>
      <c r="O335" s="37">
        <f>IF(O307=0,0,'Изходни данни'!M142*O162)</f>
        <v>35</v>
      </c>
      <c r="P335" s="37">
        <f>IF(P307=0,0,'Изходни данни'!N142*P162)</f>
        <v>35</v>
      </c>
      <c r="Q335" s="38"/>
    </row>
    <row r="336" spans="1:17" x14ac:dyDescent="0.25">
      <c r="A336" s="3" t="s">
        <v>94</v>
      </c>
      <c r="B336" s="446"/>
      <c r="C336" s="442"/>
      <c r="D336" s="292" t="s">
        <v>215</v>
      </c>
      <c r="E336" s="15">
        <f>'Изходни данни'!C153</f>
        <v>0.35</v>
      </c>
      <c r="F336" s="15">
        <f>'Изходни данни'!D153</f>
        <v>0.35</v>
      </c>
      <c r="G336" s="15">
        <f>'Изходни данни'!E153</f>
        <v>0.35</v>
      </c>
      <c r="H336" s="15">
        <f>'Изходни данни'!F153</f>
        <v>0.35</v>
      </c>
      <c r="I336" s="15">
        <f>'Изходни данни'!G153</f>
        <v>0.35</v>
      </c>
      <c r="J336" s="15">
        <f>'Изходни данни'!H153</f>
        <v>0.35</v>
      </c>
      <c r="K336" s="15">
        <f>'Изходни данни'!I153</f>
        <v>0.35</v>
      </c>
      <c r="L336" s="15">
        <f>'Изходни данни'!J153</f>
        <v>0.35</v>
      </c>
      <c r="M336" s="15">
        <f>'Изходни данни'!K153</f>
        <v>0.35</v>
      </c>
      <c r="N336" s="15">
        <f>'Изходни данни'!L153</f>
        <v>0.35</v>
      </c>
      <c r="O336" s="15">
        <f>'Изходни данни'!M153</f>
        <v>0.35</v>
      </c>
      <c r="P336" s="15">
        <f>'Изходни данни'!N153</f>
        <v>0.35</v>
      </c>
      <c r="Q336" s="21"/>
    </row>
    <row r="337" spans="1:22" x14ac:dyDescent="0.25">
      <c r="A337" s="3" t="s">
        <v>94</v>
      </c>
      <c r="B337" s="446" t="str">
        <f t="shared" si="93"/>
        <v>тона/м3</v>
      </c>
      <c r="C337" s="442">
        <f t="shared" si="94"/>
        <v>0.15</v>
      </c>
      <c r="D337" s="292" t="s">
        <v>22</v>
      </c>
      <c r="E337" s="32">
        <f>SUM(E328:E335)*E336</f>
        <v>329.75468750000005</v>
      </c>
      <c r="F337" s="32">
        <f t="shared" ref="F337:P337" si="99">SUM(F328:F335)*F336</f>
        <v>329.75468750000005</v>
      </c>
      <c r="G337" s="32">
        <f t="shared" si="99"/>
        <v>329.75468750000005</v>
      </c>
      <c r="H337" s="32">
        <f t="shared" si="99"/>
        <v>329.75468750000005</v>
      </c>
      <c r="I337" s="32">
        <f t="shared" si="99"/>
        <v>329.75468750000005</v>
      </c>
      <c r="J337" s="32">
        <f t="shared" si="99"/>
        <v>329.75468750000005</v>
      </c>
      <c r="K337" s="32">
        <f t="shared" si="99"/>
        <v>329.75468750000005</v>
      </c>
      <c r="L337" s="32">
        <f t="shared" si="99"/>
        <v>329.75468750000005</v>
      </c>
      <c r="M337" s="32">
        <f t="shared" si="99"/>
        <v>329.75468750000005</v>
      </c>
      <c r="N337" s="32">
        <f t="shared" si="99"/>
        <v>329.75468750000005</v>
      </c>
      <c r="O337" s="32">
        <f t="shared" si="99"/>
        <v>329.75468750000005</v>
      </c>
      <c r="P337" s="32">
        <f t="shared" si="99"/>
        <v>329.75468750000005</v>
      </c>
      <c r="Q337" s="21"/>
    </row>
    <row r="338" spans="1:22" x14ac:dyDescent="0.25">
      <c r="A338" s="12"/>
      <c r="B338" s="12"/>
      <c r="C338" s="12"/>
      <c r="D338" s="292"/>
      <c r="E338" s="32"/>
      <c r="F338" s="32"/>
      <c r="G338" s="32"/>
      <c r="H338" s="32"/>
      <c r="I338" s="32"/>
      <c r="J338" s="32"/>
      <c r="K338" s="32"/>
      <c r="L338" s="32"/>
      <c r="M338" s="32"/>
      <c r="N338" s="32"/>
      <c r="O338" s="32"/>
      <c r="P338" s="32"/>
      <c r="Q338" s="21"/>
    </row>
    <row r="339" spans="1:22" x14ac:dyDescent="0.25">
      <c r="A339" s="157" t="s">
        <v>108</v>
      </c>
      <c r="B339" s="5"/>
      <c r="C339" s="5"/>
      <c r="E339" s="24"/>
      <c r="F339" s="24"/>
      <c r="G339" s="24"/>
      <c r="H339" s="24"/>
      <c r="I339" s="24"/>
      <c r="J339" s="24"/>
      <c r="K339" s="24"/>
      <c r="L339" s="24"/>
      <c r="M339" s="32"/>
      <c r="N339" s="32"/>
      <c r="O339" s="32"/>
      <c r="P339" s="32"/>
      <c r="Q339" s="21"/>
    </row>
    <row r="340" spans="1:22" x14ac:dyDescent="0.25">
      <c r="A340" s="3" t="s">
        <v>109</v>
      </c>
      <c r="B340" s="12"/>
      <c r="C340" s="14"/>
      <c r="D340" s="292" t="s">
        <v>22</v>
      </c>
      <c r="E340" s="24">
        <f t="shared" ref="E340:L340" si="100">E343+E348</f>
        <v>2557.8000000000002</v>
      </c>
      <c r="F340" s="24">
        <f t="shared" si="100"/>
        <v>2557.8000000000002</v>
      </c>
      <c r="G340" s="24">
        <f t="shared" si="100"/>
        <v>2557.8000000000002</v>
      </c>
      <c r="H340" s="24">
        <f t="shared" si="100"/>
        <v>2557.8000000000002</v>
      </c>
      <c r="I340" s="24">
        <f t="shared" si="100"/>
        <v>2557.8000000000002</v>
      </c>
      <c r="J340" s="24">
        <f t="shared" si="100"/>
        <v>2557.8000000000002</v>
      </c>
      <c r="K340" s="24">
        <f t="shared" si="100"/>
        <v>2557.8000000000002</v>
      </c>
      <c r="L340" s="24">
        <f t="shared" si="100"/>
        <v>2557.8000000000002</v>
      </c>
      <c r="M340" s="24">
        <f>M343+M348</f>
        <v>2557.8000000000002</v>
      </c>
      <c r="N340" s="24">
        <f>N343+N348</f>
        <v>2557.8000000000002</v>
      </c>
      <c r="O340" s="24">
        <f>O343+O348</f>
        <v>2557.8000000000002</v>
      </c>
      <c r="P340" s="24">
        <f>P343+P348</f>
        <v>2557.8000000000002</v>
      </c>
      <c r="Q340" s="21"/>
    </row>
    <row r="341" spans="1:22" x14ac:dyDescent="0.25">
      <c r="A341" s="3" t="s">
        <v>98</v>
      </c>
      <c r="B341" s="12"/>
      <c r="C341" s="14"/>
      <c r="D341" s="292" t="s">
        <v>157</v>
      </c>
      <c r="E341" s="31">
        <f t="shared" ref="E341:P341" si="101">IF(E340=0,0,(E344*$C344+E345*$C345+E346*$C346+E348*$C348)/E340)</f>
        <v>9.1666666666666674E-2</v>
      </c>
      <c r="F341" s="31">
        <f t="shared" si="101"/>
        <v>9.1666666666666674E-2</v>
      </c>
      <c r="G341" s="31">
        <f t="shared" si="101"/>
        <v>9.1666666666666674E-2</v>
      </c>
      <c r="H341" s="31">
        <f t="shared" si="101"/>
        <v>9.1666666666666674E-2</v>
      </c>
      <c r="I341" s="31">
        <f t="shared" si="101"/>
        <v>9.1666666666666674E-2</v>
      </c>
      <c r="J341" s="31">
        <f t="shared" si="101"/>
        <v>9.1666666666666674E-2</v>
      </c>
      <c r="K341" s="31">
        <f t="shared" si="101"/>
        <v>9.1666666666666674E-2</v>
      </c>
      <c r="L341" s="31">
        <f t="shared" si="101"/>
        <v>9.1666666666666674E-2</v>
      </c>
      <c r="M341" s="31">
        <f t="shared" si="101"/>
        <v>9.1666666666666674E-2</v>
      </c>
      <c r="N341" s="31">
        <f t="shared" si="101"/>
        <v>9.1666666666666674E-2</v>
      </c>
      <c r="O341" s="31">
        <f t="shared" si="101"/>
        <v>9.1666666666666674E-2</v>
      </c>
      <c r="P341" s="31">
        <f t="shared" si="101"/>
        <v>9.1666666666666674E-2</v>
      </c>
      <c r="Q341" s="21"/>
    </row>
    <row r="342" spans="1:22" x14ac:dyDescent="0.25">
      <c r="A342" s="3" t="s">
        <v>99</v>
      </c>
      <c r="B342" s="12"/>
      <c r="C342" s="14"/>
      <c r="D342" s="292" t="s">
        <v>158</v>
      </c>
      <c r="E342" s="24">
        <f t="shared" ref="E342:P342" si="102">IF(E307=0,0,E340*1000/E307)</f>
        <v>102.312</v>
      </c>
      <c r="F342" s="24">
        <f t="shared" si="102"/>
        <v>102.312</v>
      </c>
      <c r="G342" s="24">
        <f t="shared" si="102"/>
        <v>102.312</v>
      </c>
      <c r="H342" s="24">
        <f t="shared" si="102"/>
        <v>102.312</v>
      </c>
      <c r="I342" s="24">
        <f t="shared" si="102"/>
        <v>102.312</v>
      </c>
      <c r="J342" s="24">
        <f t="shared" si="102"/>
        <v>102.312</v>
      </c>
      <c r="K342" s="24">
        <f t="shared" si="102"/>
        <v>102.312</v>
      </c>
      <c r="L342" s="24">
        <f t="shared" si="102"/>
        <v>102.312</v>
      </c>
      <c r="M342" s="24">
        <f t="shared" si="102"/>
        <v>102.312</v>
      </c>
      <c r="N342" s="24">
        <f t="shared" si="102"/>
        <v>102.312</v>
      </c>
      <c r="O342" s="24">
        <f t="shared" si="102"/>
        <v>102.312</v>
      </c>
      <c r="P342" s="24">
        <f t="shared" si="102"/>
        <v>102.312</v>
      </c>
      <c r="Q342" s="21"/>
    </row>
    <row r="343" spans="1:22" x14ac:dyDescent="0.25">
      <c r="A343" s="3" t="s">
        <v>109</v>
      </c>
      <c r="B343" s="12"/>
      <c r="C343" s="14"/>
      <c r="D343" s="292" t="s">
        <v>22</v>
      </c>
      <c r="E343" s="24">
        <f t="shared" ref="E343:L343" si="103">SUM(E344:E346)</f>
        <v>2131.5</v>
      </c>
      <c r="F343" s="24">
        <f t="shared" si="103"/>
        <v>2131.5</v>
      </c>
      <c r="G343" s="24">
        <f t="shared" si="103"/>
        <v>2131.5</v>
      </c>
      <c r="H343" s="24">
        <f t="shared" si="103"/>
        <v>2131.5</v>
      </c>
      <c r="I343" s="24">
        <f t="shared" si="103"/>
        <v>2131.5</v>
      </c>
      <c r="J343" s="24">
        <f t="shared" si="103"/>
        <v>2131.5</v>
      </c>
      <c r="K343" s="24">
        <f t="shared" si="103"/>
        <v>2131.5</v>
      </c>
      <c r="L343" s="24">
        <f t="shared" si="103"/>
        <v>2131.5</v>
      </c>
      <c r="M343" s="24">
        <f>SUM(M344:M346)</f>
        <v>2131.5</v>
      </c>
      <c r="N343" s="24">
        <f>SUM(N344:N346)</f>
        <v>2131.5</v>
      </c>
      <c r="O343" s="24">
        <f>SUM(O344:O346)</f>
        <v>2131.5</v>
      </c>
      <c r="P343" s="24">
        <f>SUM(P344:P346)</f>
        <v>2131.5</v>
      </c>
      <c r="Q343" s="21"/>
    </row>
    <row r="344" spans="1:22" s="39" customFormat="1" x14ac:dyDescent="0.25">
      <c r="A344" s="34" t="s">
        <v>100</v>
      </c>
      <c r="B344" s="446" t="str">
        <f t="shared" ref="B344:C346" si="104">B287</f>
        <v>тона/м3</v>
      </c>
      <c r="C344" s="36">
        <f t="shared" si="104"/>
        <v>0.08</v>
      </c>
      <c r="D344" s="299" t="s">
        <v>22</v>
      </c>
      <c r="E344" s="37">
        <f t="shared" ref="E344:P344" si="105">IF($B$321=3,E307*((E213*E314*$B314)+(E315*$B315*E214))/1000,0)</f>
        <v>1249.5000000000002</v>
      </c>
      <c r="F344" s="37">
        <f t="shared" si="105"/>
        <v>1249.5000000000002</v>
      </c>
      <c r="G344" s="37">
        <f t="shared" si="105"/>
        <v>1249.5000000000002</v>
      </c>
      <c r="H344" s="37">
        <f t="shared" si="105"/>
        <v>1249.5000000000002</v>
      </c>
      <c r="I344" s="37">
        <f t="shared" si="105"/>
        <v>1249.5000000000002</v>
      </c>
      <c r="J344" s="37">
        <f t="shared" si="105"/>
        <v>1249.5000000000002</v>
      </c>
      <c r="K344" s="37">
        <f t="shared" si="105"/>
        <v>1249.5000000000002</v>
      </c>
      <c r="L344" s="37">
        <f t="shared" si="105"/>
        <v>1249.5000000000002</v>
      </c>
      <c r="M344" s="37">
        <f t="shared" si="105"/>
        <v>1249.5000000000002</v>
      </c>
      <c r="N344" s="37">
        <f t="shared" si="105"/>
        <v>1249.5000000000002</v>
      </c>
      <c r="O344" s="37">
        <f t="shared" si="105"/>
        <v>1249.5000000000002</v>
      </c>
      <c r="P344" s="37">
        <f t="shared" si="105"/>
        <v>1249.5000000000002</v>
      </c>
      <c r="Q344" s="38"/>
    </row>
    <row r="345" spans="1:22" s="39" customFormat="1" x14ac:dyDescent="0.25">
      <c r="A345" s="34" t="s">
        <v>101</v>
      </c>
      <c r="B345" s="446" t="str">
        <f t="shared" si="104"/>
        <v>тона/м3</v>
      </c>
      <c r="C345" s="36">
        <f t="shared" si="104"/>
        <v>0.08</v>
      </c>
      <c r="D345" s="299" t="s">
        <v>22</v>
      </c>
      <c r="E345" s="37">
        <f>IF($B$321=3,IF(E307=0,0,E153*'Изходни данни'!C138+'Изходни данни'!C139*E154),0)</f>
        <v>355.25</v>
      </c>
      <c r="F345" s="37">
        <f>IF($B$321=3,IF(F307=0,0,F153*'Изходни данни'!D138+'Изходни данни'!D139*F154),0)</f>
        <v>355.25</v>
      </c>
      <c r="G345" s="37">
        <f>IF($B$321=3,IF(G307=0,0,G153*'Изходни данни'!E138+'Изходни данни'!E139*G154),0)</f>
        <v>355.25</v>
      </c>
      <c r="H345" s="37">
        <f>IF($B$321=3,IF(H307=0,0,H153*'Изходни данни'!F138+'Изходни данни'!F139*H154),0)</f>
        <v>355.25</v>
      </c>
      <c r="I345" s="37">
        <f>IF($B$321=3,IF(I307=0,0,I153*'Изходни данни'!G138+'Изходни данни'!G139*I154),0)</f>
        <v>355.25</v>
      </c>
      <c r="J345" s="37">
        <f>IF($B$321=3,IF(J307=0,0,J153*'Изходни данни'!H138+'Изходни данни'!H139*J154),0)</f>
        <v>355.25</v>
      </c>
      <c r="K345" s="37">
        <f>IF($B$321=3,IF(K307=0,0,K153*'Изходни данни'!I138+'Изходни данни'!I139*K154),0)</f>
        <v>355.25</v>
      </c>
      <c r="L345" s="37">
        <f>IF($B$321=3,IF(L307=0,0,L153*'Изходни данни'!J138+'Изходни данни'!J139*L154),0)</f>
        <v>355.25</v>
      </c>
      <c r="M345" s="37">
        <f>IF($B$321=3,IF(M307=0,0,M153*'Изходни данни'!K138+'Изходни данни'!K139*M154),0)</f>
        <v>355.25</v>
      </c>
      <c r="N345" s="37">
        <f>IF($B$321=3,IF(N307=0,0,N153*'Изходни данни'!L138+'Изходни данни'!L139*N154),0)</f>
        <v>355.25</v>
      </c>
      <c r="O345" s="37">
        <f>IF($B$321=3,IF(O307=0,0,O153*'Изходни данни'!M138+'Изходни данни'!M139*O154),0)</f>
        <v>355.25</v>
      </c>
      <c r="P345" s="37">
        <f>IF($B$321=3,IF(P307=0,0,P153*'Изходни данни'!N138+'Изходни данни'!N139*P154),0)</f>
        <v>355.25</v>
      </c>
      <c r="Q345" s="38"/>
    </row>
    <row r="346" spans="1:22" s="39" customFormat="1" x14ac:dyDescent="0.25">
      <c r="A346" s="34" t="s">
        <v>102</v>
      </c>
      <c r="B346" s="446" t="str">
        <f t="shared" si="104"/>
        <v>тона/м3</v>
      </c>
      <c r="C346" s="36">
        <f t="shared" si="104"/>
        <v>0.08</v>
      </c>
      <c r="D346" s="299" t="s">
        <v>22</v>
      </c>
      <c r="E346" s="37">
        <f t="shared" ref="E346:P346" si="106">IF($B$321=3,E307*((E213*E314*(1-$B314))+(E315*(1-$B315)*E214))/1000,0)</f>
        <v>526.75</v>
      </c>
      <c r="F346" s="37">
        <f t="shared" si="106"/>
        <v>526.75</v>
      </c>
      <c r="G346" s="37">
        <f t="shared" si="106"/>
        <v>526.75</v>
      </c>
      <c r="H346" s="37">
        <f t="shared" si="106"/>
        <v>526.75</v>
      </c>
      <c r="I346" s="37">
        <f t="shared" si="106"/>
        <v>526.75</v>
      </c>
      <c r="J346" s="37">
        <f t="shared" si="106"/>
        <v>526.75</v>
      </c>
      <c r="K346" s="37">
        <f t="shared" si="106"/>
        <v>526.75</v>
      </c>
      <c r="L346" s="37">
        <f t="shared" si="106"/>
        <v>526.75</v>
      </c>
      <c r="M346" s="37">
        <f t="shared" si="106"/>
        <v>526.75</v>
      </c>
      <c r="N346" s="37">
        <f t="shared" si="106"/>
        <v>526.75</v>
      </c>
      <c r="O346" s="37">
        <f t="shared" si="106"/>
        <v>526.75</v>
      </c>
      <c r="P346" s="37">
        <f t="shared" si="106"/>
        <v>526.75</v>
      </c>
      <c r="Q346" s="38"/>
    </row>
    <row r="347" spans="1:22" x14ac:dyDescent="0.25">
      <c r="A347" s="3" t="s">
        <v>94</v>
      </c>
      <c r="B347" s="446"/>
      <c r="C347" s="36"/>
      <c r="D347" s="292" t="s">
        <v>215</v>
      </c>
      <c r="E347" s="15">
        <f>'Изходни данни'!C154</f>
        <v>0.2</v>
      </c>
      <c r="F347" s="15">
        <f>'Изходни данни'!D154</f>
        <v>0.2</v>
      </c>
      <c r="G347" s="15">
        <f>'Изходни данни'!E154</f>
        <v>0.2</v>
      </c>
      <c r="H347" s="15">
        <f>'Изходни данни'!F154</f>
        <v>0.2</v>
      </c>
      <c r="I347" s="15">
        <f>'Изходни данни'!G154</f>
        <v>0.2</v>
      </c>
      <c r="J347" s="15">
        <f>'Изходни данни'!H154</f>
        <v>0.2</v>
      </c>
      <c r="K347" s="15">
        <f>'Изходни данни'!I154</f>
        <v>0.2</v>
      </c>
      <c r="L347" s="15">
        <f>'Изходни данни'!J154</f>
        <v>0.2</v>
      </c>
      <c r="M347" s="15">
        <f>'Изходни данни'!K154</f>
        <v>0.2</v>
      </c>
      <c r="N347" s="15">
        <f>'Изходни данни'!L154</f>
        <v>0.2</v>
      </c>
      <c r="O347" s="15">
        <f>'Изходни данни'!M154</f>
        <v>0.2</v>
      </c>
      <c r="P347" s="15">
        <f>'Изходни данни'!N154</f>
        <v>0.2</v>
      </c>
      <c r="Q347" s="21"/>
    </row>
    <row r="348" spans="1:22" x14ac:dyDescent="0.25">
      <c r="A348" s="3" t="s">
        <v>94</v>
      </c>
      <c r="B348" s="446" t="str">
        <f>B291</f>
        <v>тона/м3</v>
      </c>
      <c r="C348" s="36">
        <f>C291</f>
        <v>0.15</v>
      </c>
      <c r="D348" s="292" t="s">
        <v>22</v>
      </c>
      <c r="E348" s="32">
        <f t="shared" ref="E348:L348" si="107">SUM(E344:E346)*E347</f>
        <v>426.3</v>
      </c>
      <c r="F348" s="32">
        <f t="shared" si="107"/>
        <v>426.3</v>
      </c>
      <c r="G348" s="32">
        <f t="shared" si="107"/>
        <v>426.3</v>
      </c>
      <c r="H348" s="32">
        <f t="shared" si="107"/>
        <v>426.3</v>
      </c>
      <c r="I348" s="32">
        <f t="shared" si="107"/>
        <v>426.3</v>
      </c>
      <c r="J348" s="32">
        <f t="shared" si="107"/>
        <v>426.3</v>
      </c>
      <c r="K348" s="32">
        <f t="shared" si="107"/>
        <v>426.3</v>
      </c>
      <c r="L348" s="32">
        <f t="shared" si="107"/>
        <v>426.3</v>
      </c>
      <c r="M348" s="32">
        <f>SUM(M344:M346)*M347</f>
        <v>426.3</v>
      </c>
      <c r="N348" s="32">
        <f>SUM(N344:N346)*N347</f>
        <v>426.3</v>
      </c>
      <c r="O348" s="32">
        <f>SUM(O344:O346)*O347</f>
        <v>426.3</v>
      </c>
      <c r="P348" s="32">
        <f>SUM(P344:P346)*P347</f>
        <v>426.3</v>
      </c>
      <c r="Q348" s="21"/>
    </row>
    <row r="349" spans="1:22" x14ac:dyDescent="0.25">
      <c r="A349" s="12"/>
      <c r="B349" s="12"/>
      <c r="C349" s="14"/>
      <c r="D349" s="300"/>
      <c r="E349" s="26"/>
      <c r="F349" s="26"/>
      <c r="G349" s="26"/>
      <c r="H349" s="26"/>
      <c r="I349" s="26"/>
      <c r="J349" s="26"/>
      <c r="K349" s="26"/>
      <c r="L349" s="26"/>
      <c r="M349" s="32"/>
      <c r="N349" s="32"/>
      <c r="O349" s="32"/>
      <c r="P349" s="32"/>
      <c r="Q349" s="21"/>
    </row>
    <row r="350" spans="1:22" x14ac:dyDescent="0.25">
      <c r="A350" s="158" t="s">
        <v>111</v>
      </c>
      <c r="B350" s="12"/>
      <c r="C350" s="14"/>
      <c r="D350" s="300"/>
      <c r="E350" s="26"/>
      <c r="F350" s="26"/>
      <c r="G350" s="26"/>
      <c r="H350" s="26"/>
      <c r="I350" s="26"/>
      <c r="J350" s="26"/>
      <c r="K350" s="26"/>
      <c r="L350" s="26"/>
      <c r="M350" s="23"/>
      <c r="N350" s="23"/>
      <c r="O350" s="23"/>
      <c r="P350" s="23"/>
      <c r="Q350" s="21"/>
    </row>
    <row r="351" spans="1:22" x14ac:dyDescent="0.25">
      <c r="A351" s="3" t="s">
        <v>110</v>
      </c>
      <c r="B351" s="22"/>
      <c r="C351" s="22"/>
      <c r="D351" s="292" t="s">
        <v>22</v>
      </c>
      <c r="E351" s="24">
        <f>E354+E357</f>
        <v>551.25</v>
      </c>
      <c r="F351" s="24">
        <f t="shared" ref="F351:L351" si="108">F354+F357</f>
        <v>551.25</v>
      </c>
      <c r="G351" s="24">
        <f t="shared" si="108"/>
        <v>551.25</v>
      </c>
      <c r="H351" s="24">
        <f t="shared" si="108"/>
        <v>551.25</v>
      </c>
      <c r="I351" s="24">
        <f t="shared" si="108"/>
        <v>551.25</v>
      </c>
      <c r="J351" s="24">
        <f t="shared" si="108"/>
        <v>551.25</v>
      </c>
      <c r="K351" s="24">
        <f t="shared" si="108"/>
        <v>551.25</v>
      </c>
      <c r="L351" s="24">
        <f t="shared" si="108"/>
        <v>551.25</v>
      </c>
      <c r="M351" s="24">
        <f>M354+M357</f>
        <v>551.25</v>
      </c>
      <c r="N351" s="24">
        <f>N354+N357</f>
        <v>551.25</v>
      </c>
      <c r="O351" s="24">
        <f>O354+O357</f>
        <v>551.25</v>
      </c>
      <c r="P351" s="24">
        <f>P354+P357</f>
        <v>551.25</v>
      </c>
      <c r="Q351" s="21"/>
    </row>
    <row r="352" spans="1:22" x14ac:dyDescent="0.25">
      <c r="A352" s="3" t="s">
        <v>98</v>
      </c>
      <c r="B352" s="22"/>
      <c r="C352" s="22"/>
      <c r="D352" s="292" t="s">
        <v>157</v>
      </c>
      <c r="E352" s="26">
        <f>E295</f>
        <v>0.35</v>
      </c>
      <c r="F352" s="26">
        <f t="shared" ref="F352:P352" si="109">F295</f>
        <v>0.35</v>
      </c>
      <c r="G352" s="26">
        <f t="shared" si="109"/>
        <v>0.35</v>
      </c>
      <c r="H352" s="26">
        <f t="shared" si="109"/>
        <v>0.35</v>
      </c>
      <c r="I352" s="26">
        <f t="shared" si="109"/>
        <v>0.35</v>
      </c>
      <c r="J352" s="26">
        <f t="shared" si="109"/>
        <v>0.35</v>
      </c>
      <c r="K352" s="26">
        <f t="shared" si="109"/>
        <v>0.35</v>
      </c>
      <c r="L352" s="26">
        <f t="shared" si="109"/>
        <v>0.35</v>
      </c>
      <c r="M352" s="26">
        <f t="shared" si="109"/>
        <v>0.35</v>
      </c>
      <c r="N352" s="26">
        <f t="shared" si="109"/>
        <v>0.35</v>
      </c>
      <c r="O352" s="26">
        <f t="shared" si="109"/>
        <v>0.35</v>
      </c>
      <c r="P352" s="26">
        <f t="shared" si="109"/>
        <v>0.35</v>
      </c>
      <c r="Q352" s="447"/>
      <c r="R352" s="13"/>
      <c r="S352" s="13"/>
      <c r="T352" s="13"/>
      <c r="U352" s="13"/>
      <c r="V352" s="13"/>
    </row>
    <row r="353" spans="1:17" x14ac:dyDescent="0.25">
      <c r="A353" s="3" t="s">
        <v>99</v>
      </c>
      <c r="B353" s="12"/>
      <c r="C353" s="22"/>
      <c r="D353" s="292" t="s">
        <v>158</v>
      </c>
      <c r="E353" s="24">
        <f t="shared" ref="E353:P353" si="110">IF(E307=0,0,E351*1000/E307)</f>
        <v>22.05</v>
      </c>
      <c r="F353" s="24">
        <f t="shared" si="110"/>
        <v>22.05</v>
      </c>
      <c r="G353" s="24">
        <f t="shared" si="110"/>
        <v>22.05</v>
      </c>
      <c r="H353" s="24">
        <f t="shared" si="110"/>
        <v>22.05</v>
      </c>
      <c r="I353" s="24">
        <f t="shared" si="110"/>
        <v>22.05</v>
      </c>
      <c r="J353" s="24">
        <f t="shared" si="110"/>
        <v>22.05</v>
      </c>
      <c r="K353" s="24">
        <f t="shared" si="110"/>
        <v>22.05</v>
      </c>
      <c r="L353" s="24">
        <f t="shared" si="110"/>
        <v>22.05</v>
      </c>
      <c r="M353" s="24">
        <f t="shared" si="110"/>
        <v>22.05</v>
      </c>
      <c r="N353" s="24">
        <f t="shared" si="110"/>
        <v>22.05</v>
      </c>
      <c r="O353" s="24">
        <f t="shared" si="110"/>
        <v>22.05</v>
      </c>
      <c r="P353" s="24">
        <f t="shared" si="110"/>
        <v>22.05</v>
      </c>
      <c r="Q353" s="21"/>
    </row>
    <row r="354" spans="1:17" s="39" customFormat="1" ht="30" x14ac:dyDescent="0.25">
      <c r="A354" s="34" t="s">
        <v>110</v>
      </c>
      <c r="B354" s="35"/>
      <c r="C354" s="40"/>
      <c r="D354" s="299" t="s">
        <v>22</v>
      </c>
      <c r="E354" s="37">
        <f t="shared" ref="E354:P354" si="111">E307*E221*E318/1000</f>
        <v>525</v>
      </c>
      <c r="F354" s="37">
        <f t="shared" si="111"/>
        <v>525</v>
      </c>
      <c r="G354" s="37">
        <f t="shared" si="111"/>
        <v>525</v>
      </c>
      <c r="H354" s="37">
        <f t="shared" si="111"/>
        <v>525</v>
      </c>
      <c r="I354" s="37">
        <f t="shared" si="111"/>
        <v>525</v>
      </c>
      <c r="J354" s="37">
        <f t="shared" si="111"/>
        <v>525</v>
      </c>
      <c r="K354" s="37">
        <f t="shared" si="111"/>
        <v>525</v>
      </c>
      <c r="L354" s="37">
        <f t="shared" si="111"/>
        <v>525</v>
      </c>
      <c r="M354" s="37">
        <f t="shared" si="111"/>
        <v>525</v>
      </c>
      <c r="N354" s="37">
        <f t="shared" si="111"/>
        <v>525</v>
      </c>
      <c r="O354" s="37">
        <f t="shared" si="111"/>
        <v>525</v>
      </c>
      <c r="P354" s="37">
        <f t="shared" si="111"/>
        <v>525</v>
      </c>
      <c r="Q354" s="38"/>
    </row>
    <row r="355" spans="1:17" s="39" customFormat="1" ht="30" x14ac:dyDescent="0.25">
      <c r="A355" s="34" t="s">
        <v>112</v>
      </c>
      <c r="B355" s="35"/>
      <c r="C355" s="40"/>
      <c r="D355" s="299"/>
      <c r="E355" s="37">
        <f>IF(E307=0,0,'Изходни данни'!C141*E161)</f>
        <v>112</v>
      </c>
      <c r="F355" s="37">
        <f>IF(F307=0,0,'Изходни данни'!D141*F161)</f>
        <v>112</v>
      </c>
      <c r="G355" s="37">
        <f>IF(G307=0,0,'Изходни данни'!E141*G161)</f>
        <v>112</v>
      </c>
      <c r="H355" s="37">
        <f>IF(H307=0,0,'Изходни данни'!F141*H161)</f>
        <v>112</v>
      </c>
      <c r="I355" s="37">
        <f>IF(I307=0,0,'Изходни данни'!G141*I161)</f>
        <v>112</v>
      </c>
      <c r="J355" s="37">
        <f>IF(J307=0,0,'Изходни данни'!H141*J161)</f>
        <v>112</v>
      </c>
      <c r="K355" s="37">
        <f>IF(K307=0,0,'Изходни данни'!I141*K161)</f>
        <v>112</v>
      </c>
      <c r="L355" s="37">
        <f>IF(L307=0,0,'Изходни данни'!J141*L161)</f>
        <v>112</v>
      </c>
      <c r="M355" s="37">
        <f>IF(M307=0,0,'Изходни данни'!K141*M161)</f>
        <v>112</v>
      </c>
      <c r="N355" s="37">
        <f>IF(N307=0,0,'Изходни данни'!L141*N161)</f>
        <v>112</v>
      </c>
      <c r="O355" s="37">
        <f>IF(O307=0,0,'Изходни данни'!M141*O161)</f>
        <v>112</v>
      </c>
      <c r="P355" s="37">
        <f>IF(P307=0,0,'Изходни данни'!N141*P161)</f>
        <v>112</v>
      </c>
      <c r="Q355" s="38"/>
    </row>
    <row r="356" spans="1:17" x14ac:dyDescent="0.25">
      <c r="A356" s="3" t="s">
        <v>94</v>
      </c>
      <c r="B356" s="12"/>
      <c r="C356" s="22"/>
      <c r="D356" s="292" t="s">
        <v>215</v>
      </c>
      <c r="E356" s="30">
        <f>'Изходни данни'!C155</f>
        <v>0.05</v>
      </c>
      <c r="F356" s="30">
        <f>'Изходни данни'!D155</f>
        <v>0.05</v>
      </c>
      <c r="G356" s="30">
        <f>'Изходни данни'!E155</f>
        <v>0.05</v>
      </c>
      <c r="H356" s="30">
        <f>'Изходни данни'!F155</f>
        <v>0.05</v>
      </c>
      <c r="I356" s="30">
        <f>'Изходни данни'!G155</f>
        <v>0.05</v>
      </c>
      <c r="J356" s="30">
        <f>'Изходни данни'!H155</f>
        <v>0.05</v>
      </c>
      <c r="K356" s="30">
        <f>'Изходни данни'!I155</f>
        <v>0.05</v>
      </c>
      <c r="L356" s="30">
        <f>'Изходни данни'!J155</f>
        <v>0.05</v>
      </c>
      <c r="M356" s="30">
        <f>'Изходни данни'!K155</f>
        <v>0.05</v>
      </c>
      <c r="N356" s="30">
        <f>'Изходни данни'!L155</f>
        <v>0.05</v>
      </c>
      <c r="O356" s="30">
        <f>'Изходни данни'!M155</f>
        <v>0.05</v>
      </c>
      <c r="P356" s="30">
        <f>'Изходни данни'!N155</f>
        <v>0.05</v>
      </c>
      <c r="Q356" s="21"/>
    </row>
    <row r="357" spans="1:17" x14ac:dyDescent="0.25">
      <c r="A357" s="3" t="s">
        <v>94</v>
      </c>
      <c r="D357" s="292" t="s">
        <v>22</v>
      </c>
      <c r="E357" s="24">
        <f t="shared" ref="E357:P357" si="112">E354*E356</f>
        <v>26.25</v>
      </c>
      <c r="F357" s="24">
        <f t="shared" si="112"/>
        <v>26.25</v>
      </c>
      <c r="G357" s="24">
        <f t="shared" si="112"/>
        <v>26.25</v>
      </c>
      <c r="H357" s="24">
        <f t="shared" si="112"/>
        <v>26.25</v>
      </c>
      <c r="I357" s="24">
        <f t="shared" si="112"/>
        <v>26.25</v>
      </c>
      <c r="J357" s="24">
        <f t="shared" si="112"/>
        <v>26.25</v>
      </c>
      <c r="K357" s="24">
        <f t="shared" si="112"/>
        <v>26.25</v>
      </c>
      <c r="L357" s="24">
        <f t="shared" si="112"/>
        <v>26.25</v>
      </c>
      <c r="M357" s="24">
        <f t="shared" si="112"/>
        <v>26.25</v>
      </c>
      <c r="N357" s="24">
        <f t="shared" si="112"/>
        <v>26.25</v>
      </c>
      <c r="O357" s="24">
        <f t="shared" si="112"/>
        <v>26.25</v>
      </c>
      <c r="P357" s="24">
        <f t="shared" si="112"/>
        <v>26.25</v>
      </c>
      <c r="Q357" s="21"/>
    </row>
    <row r="358" spans="1:17" x14ac:dyDescent="0.25">
      <c r="A358" s="22"/>
      <c r="B358" s="22"/>
      <c r="C358" s="22"/>
      <c r="D358" s="301"/>
      <c r="E358" s="33"/>
      <c r="F358" s="33"/>
      <c r="G358" s="33"/>
      <c r="H358" s="33"/>
      <c r="I358" s="33"/>
      <c r="J358" s="33"/>
      <c r="K358" s="33"/>
      <c r="L358" s="33"/>
      <c r="M358" s="26"/>
      <c r="N358" s="26"/>
      <c r="O358" s="26"/>
      <c r="P358" s="26"/>
      <c r="Q358" s="21"/>
    </row>
    <row r="359" spans="1:17" x14ac:dyDescent="0.25">
      <c r="A359" s="159" t="s">
        <v>174</v>
      </c>
      <c r="B359" s="12"/>
      <c r="C359" s="22"/>
      <c r="D359" s="301"/>
      <c r="E359" s="26"/>
      <c r="F359" s="26"/>
      <c r="G359" s="26"/>
      <c r="H359" s="26"/>
      <c r="I359" s="26"/>
      <c r="J359" s="26"/>
      <c r="K359" s="26"/>
      <c r="L359" s="26"/>
      <c r="M359" s="26"/>
      <c r="N359" s="26"/>
      <c r="O359" s="26"/>
      <c r="P359" s="26"/>
      <c r="Q359" s="21"/>
    </row>
    <row r="360" spans="1:17" x14ac:dyDescent="0.25">
      <c r="A360" s="3" t="s">
        <v>175</v>
      </c>
      <c r="B360" s="12"/>
      <c r="C360" s="14"/>
      <c r="D360" s="292" t="s">
        <v>22</v>
      </c>
      <c r="E360" s="24">
        <f>E309*(E219*E317+E212*E313)/1000</f>
        <v>0</v>
      </c>
      <c r="F360" s="24">
        <f t="shared" ref="F360:P360" si="113">F309*(F219*F317+F212*F313)/1000</f>
        <v>1855</v>
      </c>
      <c r="G360" s="24">
        <f t="shared" si="113"/>
        <v>1855</v>
      </c>
      <c r="H360" s="24">
        <f t="shared" si="113"/>
        <v>1855</v>
      </c>
      <c r="I360" s="24">
        <f t="shared" si="113"/>
        <v>1855</v>
      </c>
      <c r="J360" s="24">
        <f t="shared" si="113"/>
        <v>1855</v>
      </c>
      <c r="K360" s="24">
        <f t="shared" si="113"/>
        <v>1855</v>
      </c>
      <c r="L360" s="24">
        <f t="shared" si="113"/>
        <v>1855</v>
      </c>
      <c r="M360" s="24">
        <f t="shared" si="113"/>
        <v>1855</v>
      </c>
      <c r="N360" s="24">
        <f t="shared" si="113"/>
        <v>1855</v>
      </c>
      <c r="O360" s="24">
        <f t="shared" si="113"/>
        <v>1855</v>
      </c>
      <c r="P360" s="24">
        <f t="shared" si="113"/>
        <v>1855</v>
      </c>
      <c r="Q360" s="21"/>
    </row>
    <row r="361" spans="1:17" x14ac:dyDescent="0.25">
      <c r="A361" s="12"/>
      <c r="B361" s="12"/>
      <c r="C361" s="14"/>
      <c r="D361" s="292"/>
      <c r="E361" s="26"/>
      <c r="F361" s="26"/>
      <c r="G361" s="26"/>
      <c r="H361" s="26"/>
      <c r="I361" s="26"/>
      <c r="J361" s="26"/>
      <c r="K361" s="26"/>
      <c r="L361" s="26"/>
      <c r="M361" s="26"/>
      <c r="N361" s="26"/>
      <c r="O361" s="26"/>
      <c r="P361" s="26"/>
      <c r="Q361" s="21"/>
    </row>
    <row r="362" spans="1:17" x14ac:dyDescent="0.25">
      <c r="A362" s="12"/>
      <c r="B362" s="12"/>
      <c r="C362" s="14"/>
      <c r="D362" s="292"/>
      <c r="E362" s="26"/>
      <c r="F362" s="26"/>
      <c r="G362" s="26"/>
      <c r="H362" s="26"/>
      <c r="I362" s="26"/>
      <c r="J362" s="26"/>
      <c r="K362" s="26"/>
      <c r="L362" s="26"/>
      <c r="M362" s="26"/>
      <c r="N362" s="26"/>
      <c r="O362" s="26"/>
      <c r="P362" s="26"/>
      <c r="Q362" s="21"/>
    </row>
    <row r="363" spans="1:17" x14ac:dyDescent="0.25">
      <c r="A363" s="12"/>
      <c r="B363" s="12"/>
      <c r="C363" s="14"/>
      <c r="D363" s="292"/>
      <c r="E363" s="26"/>
      <c r="F363" s="26"/>
      <c r="G363" s="26"/>
      <c r="H363" s="26"/>
      <c r="I363" s="26"/>
      <c r="J363" s="26"/>
      <c r="K363" s="26"/>
      <c r="L363" s="26"/>
      <c r="M363" s="26"/>
      <c r="N363" s="26"/>
      <c r="O363" s="26"/>
      <c r="P363" s="26"/>
      <c r="Q363" s="21"/>
    </row>
    <row r="364" spans="1:17" x14ac:dyDescent="0.25">
      <c r="A364" s="3"/>
      <c r="B364" s="3"/>
      <c r="C364" s="3"/>
      <c r="D364" s="303"/>
      <c r="E364" s="23"/>
      <c r="F364" s="23"/>
      <c r="G364" s="23"/>
      <c r="H364" s="23"/>
      <c r="I364" s="23"/>
      <c r="J364" s="23"/>
      <c r="K364" s="23"/>
      <c r="L364" s="23"/>
      <c r="M364" s="23"/>
      <c r="N364" s="23"/>
      <c r="O364" s="23"/>
      <c r="P364" s="23"/>
      <c r="Q364" s="21"/>
    </row>
    <row r="365" spans="1:17" x14ac:dyDescent="0.25">
      <c r="A365" s="22"/>
      <c r="B365" s="22"/>
      <c r="C365" s="22"/>
      <c r="D365" s="301"/>
      <c r="E365" s="33"/>
      <c r="F365" s="33"/>
      <c r="G365" s="33"/>
      <c r="H365" s="33"/>
      <c r="I365" s="33"/>
      <c r="J365" s="33"/>
      <c r="K365" s="33"/>
      <c r="L365" s="33"/>
      <c r="M365" s="33"/>
      <c r="N365" s="33"/>
      <c r="O365" s="33"/>
      <c r="P365" s="33"/>
      <c r="Q365" s="21"/>
    </row>
    <row r="366" spans="1:17" x14ac:dyDescent="0.25">
      <c r="A366" s="12"/>
      <c r="B366" s="12"/>
      <c r="C366" s="14"/>
      <c r="D366" s="301"/>
      <c r="E366" s="26"/>
      <c r="F366" s="26"/>
      <c r="G366" s="26"/>
      <c r="H366" s="26"/>
      <c r="I366" s="26"/>
      <c r="J366" s="26"/>
      <c r="K366" s="26"/>
      <c r="L366" s="26"/>
      <c r="M366" s="26"/>
      <c r="N366" s="26"/>
      <c r="O366" s="26"/>
      <c r="P366" s="26"/>
      <c r="Q366" s="21"/>
    </row>
    <row r="367" spans="1:17" x14ac:dyDescent="0.25">
      <c r="A367" s="12"/>
      <c r="B367" s="12"/>
      <c r="C367" s="14"/>
      <c r="D367" s="301"/>
      <c r="E367" s="26"/>
      <c r="F367" s="26"/>
      <c r="G367" s="26"/>
      <c r="H367" s="26"/>
      <c r="I367" s="26"/>
      <c r="J367" s="26"/>
      <c r="K367" s="26"/>
      <c r="L367" s="26"/>
      <c r="M367" s="26"/>
      <c r="N367" s="26"/>
      <c r="O367" s="26"/>
      <c r="P367" s="26"/>
      <c r="Q367" s="21"/>
    </row>
    <row r="368" spans="1:17" x14ac:dyDescent="0.25">
      <c r="A368" s="12"/>
      <c r="B368" s="12"/>
      <c r="C368" s="14"/>
      <c r="D368" s="301"/>
      <c r="E368" s="26"/>
      <c r="F368" s="26"/>
      <c r="G368" s="26"/>
      <c r="H368" s="26"/>
      <c r="I368" s="26"/>
      <c r="J368" s="26"/>
      <c r="K368" s="26"/>
      <c r="L368" s="26"/>
      <c r="M368" s="26"/>
      <c r="N368" s="26"/>
      <c r="O368" s="26"/>
      <c r="P368" s="26"/>
      <c r="Q368" s="21"/>
    </row>
    <row r="369" spans="1:17" x14ac:dyDescent="0.25">
      <c r="A369" s="12"/>
      <c r="B369" s="12"/>
      <c r="C369" s="14"/>
      <c r="D369" s="301"/>
      <c r="E369" s="26"/>
      <c r="F369" s="26"/>
      <c r="G369" s="26"/>
      <c r="H369" s="26"/>
      <c r="I369" s="26"/>
      <c r="J369" s="26"/>
      <c r="K369" s="26"/>
      <c r="L369" s="26"/>
      <c r="M369" s="26"/>
      <c r="N369" s="26"/>
      <c r="O369" s="26"/>
      <c r="P369" s="26"/>
      <c r="Q369" s="21"/>
    </row>
    <row r="370" spans="1:17" x14ac:dyDescent="0.25">
      <c r="A370" s="12"/>
      <c r="B370" s="12"/>
      <c r="C370" s="14"/>
      <c r="D370" s="301"/>
      <c r="E370" s="26"/>
      <c r="F370" s="26"/>
      <c r="G370" s="26"/>
      <c r="H370" s="26"/>
      <c r="I370" s="26"/>
      <c r="J370" s="26"/>
      <c r="K370" s="26"/>
      <c r="L370" s="26"/>
      <c r="M370" s="26"/>
      <c r="N370" s="26"/>
      <c r="O370" s="26"/>
      <c r="P370" s="26"/>
      <c r="Q370" s="21"/>
    </row>
    <row r="371" spans="1:17" x14ac:dyDescent="0.25">
      <c r="A371" s="12"/>
      <c r="B371" s="12"/>
      <c r="C371" s="14"/>
      <c r="D371" s="301"/>
      <c r="E371" s="26"/>
      <c r="F371" s="26"/>
      <c r="G371" s="26"/>
      <c r="H371" s="26"/>
      <c r="I371" s="26"/>
      <c r="J371" s="26"/>
      <c r="K371" s="26"/>
      <c r="L371" s="26"/>
      <c r="M371" s="26"/>
      <c r="N371" s="26"/>
      <c r="O371" s="26"/>
      <c r="P371" s="26"/>
      <c r="Q371" s="21"/>
    </row>
    <row r="372" spans="1:17" x14ac:dyDescent="0.25">
      <c r="A372" s="12"/>
      <c r="B372" s="12"/>
      <c r="C372" s="14"/>
      <c r="D372" s="301"/>
      <c r="E372" s="26"/>
      <c r="F372" s="26"/>
      <c r="G372" s="26"/>
      <c r="H372" s="26"/>
      <c r="I372" s="26"/>
      <c r="J372" s="26"/>
      <c r="K372" s="26"/>
      <c r="L372" s="26"/>
      <c r="M372" s="26"/>
      <c r="N372" s="26"/>
      <c r="O372" s="26"/>
      <c r="P372" s="26"/>
      <c r="Q372" s="21"/>
    </row>
    <row r="373" spans="1:17" x14ac:dyDescent="0.25">
      <c r="A373" s="12"/>
      <c r="B373" s="12"/>
      <c r="C373" s="14"/>
      <c r="D373" s="301"/>
      <c r="E373" s="26"/>
      <c r="F373" s="26"/>
      <c r="G373" s="26"/>
      <c r="H373" s="26"/>
      <c r="I373" s="26"/>
      <c r="J373" s="26"/>
      <c r="K373" s="26"/>
      <c r="L373" s="26"/>
      <c r="M373" s="26"/>
      <c r="N373" s="26"/>
      <c r="O373" s="26"/>
      <c r="P373" s="26"/>
      <c r="Q373" s="21"/>
    </row>
    <row r="374" spans="1:17" x14ac:dyDescent="0.25">
      <c r="A374" s="12"/>
      <c r="B374" s="12"/>
      <c r="C374" s="14"/>
      <c r="D374" s="301"/>
      <c r="E374" s="26"/>
      <c r="F374" s="26"/>
      <c r="G374" s="26"/>
      <c r="H374" s="26"/>
      <c r="I374" s="26"/>
      <c r="J374" s="26"/>
      <c r="K374" s="26"/>
      <c r="L374" s="26"/>
      <c r="M374" s="26"/>
      <c r="N374" s="26"/>
      <c r="O374" s="26"/>
      <c r="P374" s="26"/>
      <c r="Q374" s="21"/>
    </row>
    <row r="375" spans="1:17" x14ac:dyDescent="0.25">
      <c r="A375" s="12"/>
      <c r="B375" s="12"/>
      <c r="C375" s="14"/>
      <c r="D375" s="301"/>
      <c r="E375" s="26"/>
      <c r="F375" s="26"/>
      <c r="G375" s="26"/>
      <c r="H375" s="26"/>
      <c r="I375" s="26"/>
      <c r="J375" s="26"/>
      <c r="K375" s="26"/>
      <c r="L375" s="26"/>
      <c r="M375" s="26"/>
      <c r="N375" s="26"/>
      <c r="O375" s="26"/>
      <c r="P375" s="26"/>
      <c r="Q375" s="21"/>
    </row>
    <row r="376" spans="1:17" x14ac:dyDescent="0.25">
      <c r="A376" s="12"/>
      <c r="B376" s="12"/>
      <c r="C376" s="14"/>
      <c r="D376" s="301"/>
      <c r="E376" s="26"/>
      <c r="F376" s="26"/>
      <c r="G376" s="26"/>
      <c r="H376" s="26"/>
      <c r="I376" s="26"/>
      <c r="J376" s="26"/>
      <c r="K376" s="26"/>
      <c r="L376" s="26"/>
      <c r="M376" s="26"/>
      <c r="N376" s="26"/>
      <c r="O376" s="26"/>
      <c r="P376" s="26"/>
      <c r="Q376" s="21"/>
    </row>
    <row r="377" spans="1:17" x14ac:dyDescent="0.25">
      <c r="A377" s="12"/>
      <c r="B377" s="12"/>
      <c r="C377" s="14"/>
      <c r="D377" s="301"/>
      <c r="E377" s="26"/>
      <c r="F377" s="26"/>
      <c r="G377" s="26"/>
      <c r="H377" s="26"/>
      <c r="I377" s="26"/>
      <c r="J377" s="26"/>
      <c r="K377" s="26"/>
      <c r="L377" s="26"/>
      <c r="M377" s="26"/>
      <c r="N377" s="26"/>
      <c r="O377" s="26"/>
      <c r="P377" s="26"/>
      <c r="Q377" s="21"/>
    </row>
    <row r="378" spans="1:17" x14ac:dyDescent="0.25">
      <c r="A378" s="12"/>
      <c r="B378" s="12"/>
      <c r="C378" s="14"/>
      <c r="D378" s="301"/>
      <c r="E378" s="26"/>
      <c r="F378" s="26"/>
      <c r="G378" s="26"/>
      <c r="H378" s="26"/>
      <c r="I378" s="26"/>
      <c r="J378" s="26"/>
      <c r="K378" s="26"/>
      <c r="L378" s="26"/>
      <c r="M378" s="26"/>
      <c r="N378" s="26"/>
      <c r="O378" s="26"/>
      <c r="P378" s="26"/>
      <c r="Q378" s="21"/>
    </row>
    <row r="379" spans="1:17" x14ac:dyDescent="0.25">
      <c r="A379" s="22"/>
      <c r="B379" s="22"/>
      <c r="C379" s="22"/>
      <c r="D379" s="301"/>
      <c r="E379" s="23"/>
      <c r="F379" s="23"/>
      <c r="G379" s="23"/>
      <c r="H379" s="23"/>
      <c r="I379" s="23"/>
      <c r="J379" s="23"/>
      <c r="K379" s="23"/>
      <c r="L379" s="23"/>
      <c r="M379" s="23"/>
      <c r="N379" s="23"/>
      <c r="O379" s="23"/>
      <c r="P379" s="23"/>
      <c r="Q379" s="21"/>
    </row>
    <row r="380" spans="1:17" x14ac:dyDescent="0.25">
      <c r="A380" s="22"/>
      <c r="B380" s="22"/>
      <c r="C380" s="22"/>
      <c r="D380" s="301"/>
      <c r="E380" s="33"/>
      <c r="F380" s="33"/>
      <c r="G380" s="33"/>
      <c r="H380" s="33"/>
      <c r="I380" s="33"/>
      <c r="J380" s="33"/>
      <c r="K380" s="33"/>
      <c r="L380" s="33"/>
      <c r="M380" s="33"/>
      <c r="N380" s="33"/>
      <c r="O380" s="33"/>
      <c r="P380" s="33"/>
      <c r="Q380" s="21"/>
    </row>
    <row r="381" spans="1:17" x14ac:dyDescent="0.25">
      <c r="A381" s="12"/>
      <c r="B381" s="12"/>
      <c r="C381" s="14"/>
      <c r="D381" s="301"/>
      <c r="E381" s="26"/>
      <c r="F381" s="26"/>
      <c r="G381" s="26"/>
      <c r="H381" s="26"/>
      <c r="I381" s="26"/>
      <c r="J381" s="26"/>
      <c r="K381" s="26"/>
      <c r="L381" s="26"/>
      <c r="M381" s="26"/>
      <c r="N381" s="26"/>
      <c r="O381" s="26"/>
      <c r="P381" s="26"/>
      <c r="Q381" s="21"/>
    </row>
    <row r="382" spans="1:17" x14ac:dyDescent="0.25">
      <c r="A382" s="12"/>
      <c r="B382" s="12"/>
      <c r="C382" s="14"/>
      <c r="D382" s="301"/>
      <c r="E382" s="26"/>
      <c r="F382" s="26"/>
      <c r="G382" s="26"/>
      <c r="H382" s="26"/>
      <c r="I382" s="26"/>
      <c r="J382" s="26"/>
      <c r="K382" s="26"/>
      <c r="L382" s="26"/>
      <c r="M382" s="26"/>
      <c r="N382" s="26"/>
      <c r="O382" s="26"/>
      <c r="P382" s="26"/>
      <c r="Q382" s="21"/>
    </row>
    <row r="383" spans="1:17" x14ac:dyDescent="0.25">
      <c r="A383" s="12"/>
      <c r="B383" s="12"/>
      <c r="C383" s="14"/>
      <c r="D383" s="301"/>
      <c r="E383" s="26"/>
      <c r="F383" s="26"/>
      <c r="G383" s="26"/>
      <c r="H383" s="26"/>
      <c r="I383" s="26"/>
      <c r="J383" s="26"/>
      <c r="K383" s="26"/>
      <c r="L383" s="26"/>
      <c r="M383" s="26"/>
      <c r="N383" s="26"/>
      <c r="O383" s="26"/>
      <c r="P383" s="26"/>
      <c r="Q383" s="21"/>
    </row>
    <row r="384" spans="1:17" x14ac:dyDescent="0.25">
      <c r="A384" s="12"/>
      <c r="B384" s="12"/>
      <c r="C384" s="14"/>
      <c r="D384" s="301"/>
      <c r="E384" s="26"/>
      <c r="F384" s="26"/>
      <c r="G384" s="26"/>
      <c r="H384" s="26"/>
      <c r="I384" s="26"/>
      <c r="J384" s="26"/>
      <c r="K384" s="26"/>
      <c r="L384" s="26"/>
      <c r="M384" s="26"/>
      <c r="N384" s="26"/>
      <c r="O384" s="26"/>
      <c r="P384" s="26"/>
      <c r="Q384" s="21"/>
    </row>
    <row r="385" spans="1:17" x14ac:dyDescent="0.25">
      <c r="A385" s="12"/>
      <c r="B385" s="12"/>
      <c r="C385" s="14"/>
      <c r="D385" s="301"/>
      <c r="E385" s="26"/>
      <c r="F385" s="26"/>
      <c r="G385" s="26"/>
      <c r="H385" s="26"/>
      <c r="I385" s="26"/>
      <c r="J385" s="26"/>
      <c r="K385" s="26"/>
      <c r="L385" s="26"/>
      <c r="M385" s="26"/>
      <c r="N385" s="26"/>
      <c r="O385" s="26"/>
      <c r="P385" s="26"/>
      <c r="Q385" s="21"/>
    </row>
    <row r="386" spans="1:17" x14ac:dyDescent="0.25">
      <c r="A386" s="12"/>
      <c r="B386" s="12"/>
      <c r="C386" s="14"/>
      <c r="D386" s="301"/>
      <c r="E386" s="26"/>
      <c r="F386" s="26"/>
      <c r="G386" s="26"/>
      <c r="H386" s="26"/>
      <c r="I386" s="26"/>
      <c r="J386" s="26"/>
      <c r="K386" s="26"/>
      <c r="L386" s="26"/>
      <c r="M386" s="26"/>
      <c r="N386" s="26"/>
      <c r="O386" s="26"/>
      <c r="P386" s="26"/>
      <c r="Q386" s="21"/>
    </row>
    <row r="387" spans="1:17" x14ac:dyDescent="0.25">
      <c r="A387" s="12"/>
      <c r="B387" s="12"/>
      <c r="C387" s="14"/>
      <c r="D387" s="301"/>
      <c r="E387" s="26"/>
      <c r="F387" s="26"/>
      <c r="G387" s="26"/>
      <c r="H387" s="26"/>
      <c r="I387" s="26"/>
      <c r="J387" s="26"/>
      <c r="K387" s="26"/>
      <c r="L387" s="26"/>
      <c r="M387" s="26"/>
      <c r="N387" s="26"/>
      <c r="O387" s="26"/>
      <c r="P387" s="26"/>
      <c r="Q387" s="21"/>
    </row>
    <row r="388" spans="1:17" x14ac:dyDescent="0.25">
      <c r="A388" s="12"/>
      <c r="B388" s="12"/>
      <c r="C388" s="14"/>
      <c r="D388" s="301"/>
      <c r="E388" s="26"/>
      <c r="F388" s="26"/>
      <c r="G388" s="26"/>
      <c r="H388" s="26"/>
      <c r="I388" s="26"/>
      <c r="J388" s="26"/>
      <c r="K388" s="26"/>
      <c r="L388" s="26"/>
      <c r="M388" s="26"/>
      <c r="N388" s="26"/>
      <c r="O388" s="26"/>
      <c r="P388" s="26"/>
      <c r="Q388" s="21"/>
    </row>
    <row r="389" spans="1:17" x14ac:dyDescent="0.25">
      <c r="A389" s="12"/>
      <c r="B389" s="12"/>
      <c r="C389" s="14"/>
      <c r="D389" s="301"/>
      <c r="E389" s="26"/>
      <c r="F389" s="26"/>
      <c r="G389" s="26"/>
      <c r="H389" s="26"/>
      <c r="I389" s="26"/>
      <c r="J389" s="26"/>
      <c r="K389" s="26"/>
      <c r="L389" s="26"/>
      <c r="M389" s="26"/>
      <c r="N389" s="26"/>
      <c r="O389" s="26"/>
      <c r="P389" s="26"/>
      <c r="Q389" s="21"/>
    </row>
    <row r="390" spans="1:17" x14ac:dyDescent="0.25">
      <c r="A390" s="12"/>
      <c r="B390" s="12"/>
      <c r="C390" s="14"/>
      <c r="D390" s="301"/>
      <c r="E390" s="26"/>
      <c r="F390" s="26"/>
      <c r="G390" s="26"/>
      <c r="H390" s="26"/>
      <c r="I390" s="26"/>
      <c r="J390" s="26"/>
      <c r="K390" s="26"/>
      <c r="L390" s="26"/>
      <c r="M390" s="26"/>
      <c r="N390" s="26"/>
      <c r="O390" s="26"/>
      <c r="P390" s="26"/>
      <c r="Q390" s="21"/>
    </row>
    <row r="391" spans="1:17" x14ac:dyDescent="0.25">
      <c r="A391" s="12"/>
      <c r="B391" s="12"/>
      <c r="C391" s="14"/>
      <c r="D391" s="301"/>
      <c r="E391" s="26"/>
      <c r="F391" s="26"/>
      <c r="G391" s="26"/>
      <c r="H391" s="26"/>
      <c r="I391" s="26"/>
      <c r="J391" s="26"/>
      <c r="K391" s="26"/>
      <c r="L391" s="26"/>
      <c r="M391" s="26"/>
      <c r="N391" s="26"/>
      <c r="O391" s="26"/>
      <c r="P391" s="26"/>
      <c r="Q391" s="21"/>
    </row>
    <row r="392" spans="1:17" x14ac:dyDescent="0.25">
      <c r="A392" s="12"/>
      <c r="B392" s="12"/>
      <c r="C392" s="14"/>
      <c r="D392" s="301"/>
      <c r="E392" s="26"/>
      <c r="F392" s="26"/>
      <c r="G392" s="26"/>
      <c r="H392" s="26"/>
      <c r="I392" s="26"/>
      <c r="J392" s="26"/>
      <c r="K392" s="26"/>
      <c r="L392" s="26"/>
      <c r="M392" s="26"/>
      <c r="N392" s="26"/>
      <c r="O392" s="26"/>
      <c r="P392" s="26"/>
      <c r="Q392" s="21"/>
    </row>
    <row r="393" spans="1:17" x14ac:dyDescent="0.25">
      <c r="A393" s="12"/>
      <c r="B393" s="12"/>
      <c r="C393" s="14"/>
      <c r="D393" s="301"/>
      <c r="E393" s="26"/>
      <c r="F393" s="26"/>
      <c r="G393" s="26"/>
      <c r="H393" s="26"/>
      <c r="I393" s="26"/>
      <c r="J393" s="26"/>
      <c r="K393" s="26"/>
      <c r="L393" s="26"/>
      <c r="M393" s="26"/>
      <c r="N393" s="26"/>
      <c r="O393" s="26"/>
      <c r="P393" s="26"/>
      <c r="Q393" s="21"/>
    </row>
    <row r="394" spans="1:17" x14ac:dyDescent="0.25">
      <c r="A394" s="22"/>
      <c r="B394" s="22"/>
      <c r="C394" s="22"/>
      <c r="D394" s="301"/>
      <c r="E394" s="23"/>
      <c r="F394" s="23"/>
      <c r="G394" s="23"/>
      <c r="H394" s="23"/>
      <c r="I394" s="23"/>
      <c r="J394" s="23"/>
      <c r="K394" s="23"/>
      <c r="L394" s="23"/>
      <c r="M394" s="23"/>
      <c r="N394" s="23"/>
      <c r="O394" s="23"/>
      <c r="P394" s="23"/>
      <c r="Q394" s="21"/>
    </row>
    <row r="395" spans="1:17" x14ac:dyDescent="0.25">
      <c r="A395" s="22"/>
      <c r="B395" s="22"/>
      <c r="C395" s="22"/>
      <c r="D395" s="301"/>
      <c r="E395" s="33"/>
      <c r="F395" s="33"/>
      <c r="G395" s="33"/>
      <c r="H395" s="33"/>
      <c r="I395" s="33"/>
      <c r="J395" s="33"/>
      <c r="K395" s="33"/>
      <c r="L395" s="33"/>
      <c r="M395" s="33"/>
      <c r="N395" s="33"/>
      <c r="O395" s="33"/>
      <c r="P395" s="33"/>
      <c r="Q395" s="21"/>
    </row>
    <row r="396" spans="1:17" x14ac:dyDescent="0.25">
      <c r="A396" s="12"/>
      <c r="B396" s="12"/>
      <c r="C396" s="22"/>
      <c r="D396" s="301"/>
      <c r="E396" s="26"/>
      <c r="F396" s="26"/>
      <c r="G396" s="26"/>
      <c r="H396" s="26"/>
      <c r="I396" s="26"/>
      <c r="J396" s="26"/>
      <c r="K396" s="26"/>
      <c r="L396" s="26"/>
      <c r="M396" s="26"/>
      <c r="N396" s="26"/>
      <c r="O396" s="26"/>
      <c r="P396" s="26"/>
      <c r="Q396" s="21"/>
    </row>
    <row r="397" spans="1:17" x14ac:dyDescent="0.25">
      <c r="A397" s="12"/>
      <c r="B397" s="12"/>
      <c r="C397" s="22"/>
      <c r="D397" s="301"/>
      <c r="E397" s="26"/>
      <c r="F397" s="26"/>
      <c r="G397" s="26"/>
      <c r="H397" s="26"/>
      <c r="I397" s="26"/>
      <c r="J397" s="26"/>
      <c r="K397" s="26"/>
      <c r="L397" s="26"/>
      <c r="M397" s="26"/>
      <c r="N397" s="26"/>
      <c r="O397" s="26"/>
      <c r="P397" s="26"/>
      <c r="Q397" s="21"/>
    </row>
    <row r="398" spans="1:17" x14ac:dyDescent="0.25">
      <c r="A398" s="12"/>
      <c r="B398" s="12"/>
      <c r="C398" s="22"/>
      <c r="D398" s="301"/>
      <c r="E398" s="26"/>
      <c r="F398" s="26"/>
      <c r="G398" s="26"/>
      <c r="H398" s="26"/>
      <c r="I398" s="26"/>
      <c r="J398" s="26"/>
      <c r="K398" s="26"/>
      <c r="L398" s="26"/>
      <c r="M398" s="26"/>
      <c r="N398" s="26"/>
      <c r="O398" s="26"/>
      <c r="P398" s="26"/>
      <c r="Q398" s="21"/>
    </row>
    <row r="399" spans="1:17" x14ac:dyDescent="0.25">
      <c r="A399" s="12"/>
      <c r="B399" s="12"/>
      <c r="C399" s="22"/>
      <c r="D399" s="301"/>
      <c r="E399" s="26"/>
      <c r="F399" s="26"/>
      <c r="G399" s="26"/>
      <c r="H399" s="26"/>
      <c r="I399" s="26"/>
      <c r="J399" s="26"/>
      <c r="K399" s="26"/>
      <c r="L399" s="26"/>
      <c r="M399" s="26"/>
      <c r="N399" s="26"/>
      <c r="O399" s="26"/>
      <c r="P399" s="26"/>
      <c r="Q399" s="21"/>
    </row>
    <row r="400" spans="1:17" x14ac:dyDescent="0.25">
      <c r="A400" s="12"/>
      <c r="B400" s="12"/>
      <c r="C400" s="22"/>
      <c r="D400" s="301"/>
      <c r="E400" s="26"/>
      <c r="F400" s="26"/>
      <c r="G400" s="26"/>
      <c r="H400" s="26"/>
      <c r="I400" s="26"/>
      <c r="J400" s="26"/>
      <c r="K400" s="26"/>
      <c r="L400" s="26"/>
      <c r="M400" s="26"/>
      <c r="N400" s="26"/>
      <c r="O400" s="26"/>
      <c r="P400" s="26"/>
      <c r="Q400" s="21"/>
    </row>
    <row r="401" spans="1:17" x14ac:dyDescent="0.25">
      <c r="A401" s="12"/>
      <c r="B401" s="12"/>
      <c r="C401" s="22"/>
      <c r="D401" s="301"/>
      <c r="E401" s="26"/>
      <c r="F401" s="26"/>
      <c r="G401" s="26"/>
      <c r="H401" s="26"/>
      <c r="I401" s="26"/>
      <c r="J401" s="26"/>
      <c r="K401" s="26"/>
      <c r="L401" s="26"/>
      <c r="M401" s="26"/>
      <c r="N401" s="26"/>
      <c r="O401" s="26"/>
      <c r="P401" s="26"/>
      <c r="Q401" s="21"/>
    </row>
    <row r="402" spans="1:17" x14ac:dyDescent="0.25">
      <c r="A402" s="12"/>
      <c r="B402" s="12"/>
      <c r="C402" s="22"/>
      <c r="D402" s="301"/>
      <c r="E402" s="26"/>
      <c r="F402" s="26"/>
      <c r="G402" s="26"/>
      <c r="H402" s="26"/>
      <c r="I402" s="26"/>
      <c r="J402" s="26"/>
      <c r="K402" s="26"/>
      <c r="L402" s="26"/>
      <c r="M402" s="26"/>
      <c r="N402" s="26"/>
      <c r="O402" s="26"/>
      <c r="P402" s="26"/>
      <c r="Q402" s="21"/>
    </row>
    <row r="403" spans="1:17" x14ac:dyDescent="0.25">
      <c r="A403" s="12"/>
      <c r="B403" s="12"/>
      <c r="C403" s="22"/>
      <c r="D403" s="301"/>
      <c r="E403" s="26"/>
      <c r="F403" s="26"/>
      <c r="G403" s="26"/>
      <c r="H403" s="26"/>
      <c r="I403" s="26"/>
      <c r="J403" s="26"/>
      <c r="K403" s="26"/>
      <c r="L403" s="26"/>
      <c r="M403" s="26"/>
      <c r="N403" s="26"/>
      <c r="O403" s="26"/>
      <c r="P403" s="26"/>
      <c r="Q403" s="21"/>
    </row>
    <row r="404" spans="1:17" x14ac:dyDescent="0.25">
      <c r="A404" s="12"/>
      <c r="B404" s="12"/>
      <c r="C404" s="22"/>
      <c r="D404" s="301"/>
      <c r="E404" s="26"/>
      <c r="F404" s="26"/>
      <c r="G404" s="26"/>
      <c r="H404" s="26"/>
      <c r="I404" s="26"/>
      <c r="J404" s="26"/>
      <c r="K404" s="26"/>
      <c r="L404" s="26"/>
      <c r="M404" s="26"/>
      <c r="N404" s="26"/>
      <c r="O404" s="26"/>
      <c r="P404" s="26"/>
      <c r="Q404" s="21"/>
    </row>
    <row r="405" spans="1:17" x14ac:dyDescent="0.25">
      <c r="A405" s="12"/>
      <c r="B405" s="12"/>
      <c r="C405" s="22"/>
      <c r="D405" s="301"/>
      <c r="E405" s="26"/>
      <c r="F405" s="26"/>
      <c r="G405" s="26"/>
      <c r="H405" s="26"/>
      <c r="I405" s="26"/>
      <c r="J405" s="26"/>
      <c r="K405" s="26"/>
      <c r="L405" s="26"/>
      <c r="M405" s="26"/>
      <c r="N405" s="26"/>
      <c r="O405" s="26"/>
      <c r="P405" s="26"/>
      <c r="Q405" s="21"/>
    </row>
    <row r="406" spans="1:17" x14ac:dyDescent="0.25">
      <c r="A406" s="12"/>
      <c r="B406" s="12"/>
      <c r="C406" s="22"/>
      <c r="D406" s="301"/>
      <c r="E406" s="26"/>
      <c r="F406" s="26"/>
      <c r="G406" s="26"/>
      <c r="H406" s="26"/>
      <c r="I406" s="26"/>
      <c r="J406" s="26"/>
      <c r="K406" s="26"/>
      <c r="L406" s="26"/>
      <c r="M406" s="26"/>
      <c r="N406" s="26"/>
      <c r="O406" s="26"/>
      <c r="P406" s="26"/>
      <c r="Q406" s="21"/>
    </row>
    <row r="407" spans="1:17" x14ac:dyDescent="0.25">
      <c r="A407" s="12"/>
      <c r="B407" s="12"/>
      <c r="C407" s="22"/>
      <c r="D407" s="301"/>
      <c r="E407" s="26"/>
      <c r="F407" s="26"/>
      <c r="G407" s="26"/>
      <c r="H407" s="26"/>
      <c r="I407" s="26"/>
      <c r="J407" s="26"/>
      <c r="K407" s="26"/>
      <c r="L407" s="26"/>
      <c r="M407" s="26"/>
      <c r="N407" s="26"/>
      <c r="O407" s="26"/>
      <c r="P407" s="26"/>
      <c r="Q407" s="21"/>
    </row>
    <row r="408" spans="1:17" x14ac:dyDescent="0.25">
      <c r="A408" s="12"/>
      <c r="B408" s="12"/>
      <c r="C408" s="22"/>
      <c r="D408" s="301"/>
      <c r="E408" s="26"/>
      <c r="F408" s="26"/>
      <c r="G408" s="26"/>
      <c r="H408" s="26"/>
      <c r="I408" s="26"/>
      <c r="J408" s="26"/>
      <c r="K408" s="26"/>
      <c r="L408" s="26"/>
      <c r="M408" s="26"/>
      <c r="N408" s="26"/>
      <c r="O408" s="26"/>
      <c r="P408" s="26"/>
      <c r="Q408" s="21"/>
    </row>
    <row r="409" spans="1:17" x14ac:dyDescent="0.25">
      <c r="A409" s="22"/>
      <c r="B409" s="22"/>
      <c r="C409" s="22"/>
      <c r="D409" s="301"/>
      <c r="E409" s="23"/>
      <c r="F409" s="23"/>
      <c r="G409" s="23"/>
      <c r="H409" s="23"/>
      <c r="I409" s="23"/>
      <c r="J409" s="23"/>
      <c r="K409" s="23"/>
      <c r="L409" s="23"/>
      <c r="M409" s="23"/>
      <c r="N409" s="23"/>
      <c r="O409" s="23"/>
      <c r="P409" s="23"/>
      <c r="Q409" s="21"/>
    </row>
    <row r="410" spans="1:17" x14ac:dyDescent="0.25">
      <c r="A410" s="22"/>
      <c r="B410" s="22"/>
      <c r="C410" s="22"/>
      <c r="D410" s="301"/>
      <c r="E410" s="23"/>
      <c r="F410" s="23"/>
      <c r="G410" s="23"/>
      <c r="H410" s="23"/>
      <c r="I410" s="23"/>
      <c r="J410" s="23"/>
      <c r="K410" s="23"/>
      <c r="L410" s="23"/>
      <c r="M410" s="23"/>
      <c r="N410" s="23"/>
      <c r="O410" s="23"/>
      <c r="P410" s="23"/>
      <c r="Q410" s="21"/>
    </row>
    <row r="411" spans="1:17" x14ac:dyDescent="0.25">
      <c r="A411" s="22"/>
      <c r="B411" s="22"/>
      <c r="C411" s="22"/>
      <c r="D411" s="301"/>
      <c r="E411" s="15"/>
      <c r="F411" s="15"/>
      <c r="G411" s="15"/>
      <c r="H411" s="15"/>
      <c r="I411" s="15"/>
      <c r="J411" s="15"/>
      <c r="K411" s="15"/>
      <c r="L411" s="15"/>
      <c r="M411" s="15"/>
      <c r="N411" s="15"/>
      <c r="O411" s="15"/>
      <c r="P411" s="15"/>
      <c r="Q411" s="21"/>
    </row>
    <row r="412" spans="1:17" x14ac:dyDescent="0.25">
      <c r="A412" s="12"/>
      <c r="B412" s="12"/>
      <c r="C412" s="12"/>
      <c r="D412" s="292"/>
      <c r="E412" s="15"/>
      <c r="F412" s="15"/>
      <c r="G412" s="15"/>
      <c r="H412" s="15"/>
      <c r="I412" s="15"/>
      <c r="J412" s="15"/>
      <c r="K412" s="15"/>
      <c r="L412" s="15"/>
      <c r="M412" s="15"/>
      <c r="N412" s="15"/>
      <c r="O412" s="15"/>
      <c r="P412" s="15"/>
      <c r="Q412" s="21"/>
    </row>
    <row r="413" spans="1:17" x14ac:dyDescent="0.25">
      <c r="A413" s="12"/>
      <c r="B413" s="12"/>
      <c r="C413" s="12"/>
      <c r="D413" s="292"/>
      <c r="E413" s="15"/>
      <c r="F413" s="15"/>
      <c r="G413" s="15"/>
      <c r="H413" s="15"/>
      <c r="I413" s="15"/>
      <c r="J413" s="15"/>
      <c r="K413" s="15"/>
      <c r="L413" s="15"/>
      <c r="M413" s="15"/>
      <c r="N413" s="15"/>
      <c r="O413" s="15"/>
      <c r="P413" s="15"/>
      <c r="Q413" s="21"/>
    </row>
    <row r="414" spans="1:17" x14ac:dyDescent="0.25">
      <c r="A414" s="12"/>
      <c r="B414" s="12"/>
      <c r="C414" s="12"/>
      <c r="D414" s="292"/>
      <c r="E414" s="15"/>
      <c r="F414" s="15"/>
      <c r="G414" s="15"/>
      <c r="H414" s="15"/>
      <c r="I414" s="15"/>
      <c r="J414" s="15"/>
      <c r="K414" s="15"/>
      <c r="L414" s="15"/>
      <c r="M414" s="15"/>
      <c r="N414" s="15"/>
      <c r="O414" s="15"/>
      <c r="P414" s="15"/>
      <c r="Q414" s="21"/>
    </row>
    <row r="415" spans="1:17" x14ac:dyDescent="0.25">
      <c r="A415" s="12"/>
      <c r="B415" s="12"/>
      <c r="C415" s="12"/>
      <c r="D415" s="292"/>
      <c r="E415" s="15"/>
      <c r="F415" s="15"/>
      <c r="G415" s="15"/>
      <c r="H415" s="15"/>
      <c r="I415" s="15"/>
      <c r="J415" s="15"/>
      <c r="K415" s="15"/>
      <c r="L415" s="15"/>
      <c r="M415" s="15"/>
      <c r="N415" s="15"/>
      <c r="O415" s="15"/>
      <c r="P415" s="15"/>
      <c r="Q415" s="21"/>
    </row>
    <row r="416" spans="1:17" x14ac:dyDescent="0.25">
      <c r="A416" s="12"/>
      <c r="B416" s="12"/>
      <c r="C416" s="12"/>
      <c r="D416" s="292"/>
      <c r="E416" s="15"/>
      <c r="F416" s="15"/>
      <c r="G416" s="15"/>
      <c r="H416" s="15"/>
      <c r="I416" s="15"/>
      <c r="J416" s="15"/>
      <c r="K416" s="15"/>
      <c r="L416" s="15"/>
      <c r="M416" s="15"/>
      <c r="N416" s="15"/>
      <c r="O416" s="15"/>
      <c r="P416" s="15"/>
      <c r="Q416" s="21"/>
    </row>
    <row r="417" spans="1:17" x14ac:dyDescent="0.25">
      <c r="A417" s="12"/>
      <c r="B417" s="12"/>
      <c r="C417" s="12"/>
      <c r="D417" s="292"/>
      <c r="E417" s="15"/>
      <c r="F417" s="15"/>
      <c r="G417" s="15"/>
      <c r="H417" s="15"/>
      <c r="I417" s="15"/>
      <c r="J417" s="15"/>
      <c r="K417" s="15"/>
      <c r="L417" s="15"/>
      <c r="M417" s="15"/>
      <c r="N417" s="15"/>
      <c r="O417" s="15"/>
      <c r="P417" s="15"/>
      <c r="Q417" s="21"/>
    </row>
    <row r="418" spans="1:17" x14ac:dyDescent="0.25">
      <c r="A418" s="12"/>
      <c r="B418" s="12"/>
      <c r="C418" s="12"/>
      <c r="D418" s="292"/>
      <c r="E418" s="15"/>
      <c r="F418" s="15"/>
      <c r="G418" s="15"/>
      <c r="H418" s="15"/>
      <c r="I418" s="15"/>
      <c r="J418" s="15"/>
      <c r="K418" s="15"/>
      <c r="L418" s="15"/>
      <c r="M418" s="15"/>
      <c r="N418" s="15"/>
      <c r="O418" s="15"/>
      <c r="P418" s="15"/>
      <c r="Q418" s="21"/>
    </row>
    <row r="419" spans="1:17" x14ac:dyDescent="0.25">
      <c r="A419" s="12"/>
      <c r="B419" s="12"/>
      <c r="C419" s="12"/>
      <c r="D419" s="292"/>
      <c r="E419" s="15"/>
      <c r="F419" s="15"/>
      <c r="G419" s="15"/>
      <c r="H419" s="15"/>
      <c r="I419" s="15"/>
      <c r="J419" s="15"/>
      <c r="K419" s="15"/>
      <c r="L419" s="15"/>
      <c r="M419" s="15"/>
      <c r="N419" s="15"/>
      <c r="O419" s="15"/>
      <c r="P419" s="15"/>
      <c r="Q419" s="21"/>
    </row>
    <row r="420" spans="1:17" x14ac:dyDescent="0.25">
      <c r="A420" s="12"/>
      <c r="B420" s="12"/>
      <c r="C420" s="12"/>
      <c r="D420" s="292"/>
      <c r="E420" s="15"/>
      <c r="F420" s="15"/>
      <c r="G420" s="15"/>
      <c r="H420" s="15"/>
      <c r="I420" s="15"/>
      <c r="J420" s="15"/>
      <c r="K420" s="15"/>
      <c r="L420" s="15"/>
      <c r="M420" s="15"/>
      <c r="N420" s="15"/>
      <c r="O420" s="15"/>
      <c r="P420" s="15"/>
      <c r="Q420" s="21"/>
    </row>
    <row r="421" spans="1:17" x14ac:dyDescent="0.25">
      <c r="A421" s="12"/>
      <c r="B421" s="12"/>
      <c r="C421" s="12"/>
      <c r="D421" s="292"/>
      <c r="E421" s="15"/>
      <c r="F421" s="15"/>
      <c r="G421" s="15"/>
      <c r="H421" s="15"/>
      <c r="I421" s="15"/>
      <c r="J421" s="15"/>
      <c r="K421" s="15"/>
      <c r="L421" s="15"/>
      <c r="M421" s="15"/>
      <c r="N421" s="15"/>
      <c r="O421" s="15"/>
      <c r="P421" s="15"/>
      <c r="Q421" s="21"/>
    </row>
    <row r="422" spans="1:17" x14ac:dyDescent="0.25">
      <c r="A422" s="12"/>
      <c r="B422" s="12"/>
      <c r="C422" s="12"/>
      <c r="D422" s="292"/>
      <c r="E422" s="15"/>
      <c r="F422" s="15"/>
      <c r="G422" s="15"/>
      <c r="H422" s="15"/>
      <c r="I422" s="15"/>
      <c r="J422" s="15"/>
      <c r="K422" s="15"/>
      <c r="L422" s="15"/>
      <c r="M422" s="15"/>
      <c r="N422" s="15"/>
      <c r="O422" s="15"/>
      <c r="P422" s="15"/>
      <c r="Q422" s="21"/>
    </row>
    <row r="423" spans="1:17" x14ac:dyDescent="0.25">
      <c r="A423" s="12"/>
      <c r="B423" s="12"/>
      <c r="C423" s="12"/>
      <c r="D423" s="292"/>
      <c r="E423" s="15"/>
      <c r="F423" s="15"/>
      <c r="G423" s="15"/>
      <c r="H423" s="15"/>
      <c r="I423" s="15"/>
      <c r="J423" s="15"/>
      <c r="K423" s="15"/>
      <c r="L423" s="15"/>
      <c r="M423" s="15"/>
      <c r="N423" s="15"/>
      <c r="O423" s="15"/>
      <c r="P423" s="15"/>
      <c r="Q423" s="21"/>
    </row>
    <row r="424" spans="1:17" x14ac:dyDescent="0.25">
      <c r="A424" s="12"/>
      <c r="B424" s="12"/>
      <c r="C424" s="12"/>
      <c r="D424" s="292"/>
      <c r="E424" s="15"/>
      <c r="F424" s="15"/>
      <c r="G424" s="15"/>
      <c r="H424" s="15"/>
      <c r="I424" s="15"/>
      <c r="J424" s="15"/>
      <c r="K424" s="15"/>
      <c r="L424" s="15"/>
      <c r="M424" s="15"/>
      <c r="N424" s="15"/>
      <c r="O424" s="15"/>
      <c r="P424" s="15"/>
      <c r="Q424" s="21"/>
    </row>
    <row r="425" spans="1:17" x14ac:dyDescent="0.25">
      <c r="A425" s="5"/>
      <c r="B425" s="5"/>
      <c r="C425" s="5"/>
      <c r="E425" s="23"/>
      <c r="F425" s="23"/>
      <c r="G425" s="23"/>
      <c r="H425" s="23"/>
      <c r="I425" s="23"/>
      <c r="J425" s="23"/>
      <c r="K425" s="23"/>
      <c r="L425" s="23"/>
      <c r="M425" s="23"/>
      <c r="N425" s="23"/>
      <c r="O425" s="23"/>
      <c r="P425" s="23"/>
      <c r="Q425" s="21"/>
    </row>
    <row r="426" spans="1:17" x14ac:dyDescent="0.25">
      <c r="A426" s="22"/>
      <c r="B426" s="22"/>
      <c r="C426" s="22"/>
      <c r="D426" s="301"/>
      <c r="E426" s="33"/>
      <c r="F426" s="33"/>
      <c r="G426" s="33"/>
      <c r="H426" s="33"/>
      <c r="I426" s="33"/>
      <c r="J426" s="33"/>
      <c r="K426" s="33"/>
      <c r="L426" s="33"/>
      <c r="M426" s="33"/>
      <c r="N426" s="33"/>
      <c r="O426" s="33"/>
      <c r="P426" s="33"/>
      <c r="Q426" s="21"/>
    </row>
    <row r="427" spans="1:17" x14ac:dyDescent="0.25">
      <c r="A427" s="12"/>
      <c r="B427" s="12"/>
      <c r="C427" s="14"/>
      <c r="D427" s="292"/>
      <c r="E427" s="26"/>
      <c r="F427" s="26"/>
      <c r="G427" s="26"/>
      <c r="H427" s="26"/>
      <c r="I427" s="26"/>
      <c r="J427" s="26"/>
      <c r="K427" s="26"/>
      <c r="L427" s="26"/>
      <c r="M427" s="26"/>
      <c r="N427" s="26"/>
      <c r="O427" s="26"/>
      <c r="P427" s="26"/>
      <c r="Q427" s="21"/>
    </row>
    <row r="428" spans="1:17" x14ac:dyDescent="0.25">
      <c r="A428" s="12"/>
      <c r="B428" s="12"/>
      <c r="C428" s="14"/>
      <c r="D428" s="292"/>
      <c r="E428" s="26"/>
      <c r="F428" s="26"/>
      <c r="G428" s="26"/>
      <c r="H428" s="26"/>
      <c r="I428" s="26"/>
      <c r="J428" s="26"/>
      <c r="K428" s="26"/>
      <c r="L428" s="26"/>
      <c r="M428" s="26"/>
      <c r="N428" s="26"/>
      <c r="O428" s="26"/>
      <c r="P428" s="26"/>
      <c r="Q428" s="21"/>
    </row>
    <row r="429" spans="1:17" x14ac:dyDescent="0.25">
      <c r="A429" s="12"/>
      <c r="B429" s="12"/>
      <c r="C429" s="14"/>
      <c r="D429" s="292"/>
      <c r="E429" s="26"/>
      <c r="F429" s="26"/>
      <c r="G429" s="26"/>
      <c r="H429" s="26"/>
      <c r="I429" s="26"/>
      <c r="J429" s="26"/>
      <c r="K429" s="26"/>
      <c r="L429" s="26"/>
      <c r="M429" s="26"/>
      <c r="N429" s="26"/>
      <c r="O429" s="26"/>
      <c r="P429" s="26"/>
      <c r="Q429" s="21"/>
    </row>
    <row r="430" spans="1:17" x14ac:dyDescent="0.25">
      <c r="A430" s="12"/>
      <c r="B430" s="12"/>
      <c r="C430" s="14"/>
      <c r="D430" s="292"/>
      <c r="E430" s="26"/>
      <c r="F430" s="26"/>
      <c r="G430" s="26"/>
      <c r="H430" s="26"/>
      <c r="I430" s="26"/>
      <c r="J430" s="26"/>
      <c r="K430" s="26"/>
      <c r="L430" s="26"/>
      <c r="M430" s="26"/>
      <c r="N430" s="26"/>
      <c r="O430" s="26"/>
      <c r="P430" s="26"/>
      <c r="Q430" s="21"/>
    </row>
    <row r="431" spans="1:17" x14ac:dyDescent="0.25">
      <c r="A431" s="12"/>
      <c r="B431" s="12"/>
      <c r="C431" s="14"/>
      <c r="D431" s="292"/>
      <c r="E431" s="26"/>
      <c r="F431" s="26"/>
      <c r="G431" s="26"/>
      <c r="H431" s="26"/>
      <c r="I431" s="26"/>
      <c r="J431" s="26"/>
      <c r="K431" s="26"/>
      <c r="L431" s="26"/>
      <c r="M431" s="26"/>
      <c r="N431" s="26"/>
      <c r="O431" s="26"/>
      <c r="P431" s="26"/>
      <c r="Q431" s="21"/>
    </row>
    <row r="432" spans="1:17" x14ac:dyDescent="0.25">
      <c r="A432" s="12"/>
      <c r="B432" s="12"/>
      <c r="C432" s="14"/>
      <c r="D432" s="292"/>
      <c r="E432" s="26"/>
      <c r="F432" s="26"/>
      <c r="G432" s="26"/>
      <c r="H432" s="26"/>
      <c r="I432" s="26"/>
      <c r="J432" s="26"/>
      <c r="K432" s="26"/>
      <c r="L432" s="26"/>
      <c r="M432" s="26"/>
      <c r="N432" s="26"/>
      <c r="O432" s="26"/>
      <c r="P432" s="26"/>
      <c r="Q432" s="21"/>
    </row>
    <row r="433" spans="1:17" x14ac:dyDescent="0.25">
      <c r="A433" s="12"/>
      <c r="B433" s="12"/>
      <c r="C433" s="14"/>
      <c r="D433" s="292"/>
      <c r="E433" s="26"/>
      <c r="F433" s="26"/>
      <c r="G433" s="26"/>
      <c r="H433" s="26"/>
      <c r="I433" s="26"/>
      <c r="J433" s="26"/>
      <c r="K433" s="26"/>
      <c r="L433" s="26"/>
      <c r="M433" s="26"/>
      <c r="N433" s="26"/>
      <c r="O433" s="26"/>
      <c r="P433" s="26"/>
      <c r="Q433" s="21"/>
    </row>
    <row r="434" spans="1:17" x14ac:dyDescent="0.25">
      <c r="A434" s="12"/>
      <c r="B434" s="12"/>
      <c r="C434" s="14"/>
      <c r="D434" s="292"/>
      <c r="E434" s="26"/>
      <c r="F434" s="26"/>
      <c r="G434" s="26"/>
      <c r="H434" s="26"/>
      <c r="I434" s="26"/>
      <c r="J434" s="26"/>
      <c r="K434" s="26"/>
      <c r="L434" s="26"/>
      <c r="M434" s="26"/>
      <c r="N434" s="26"/>
      <c r="O434" s="26"/>
      <c r="P434" s="26"/>
      <c r="Q434" s="21"/>
    </row>
    <row r="435" spans="1:17" x14ac:dyDescent="0.25">
      <c r="A435" s="12"/>
      <c r="B435" s="12"/>
      <c r="C435" s="14"/>
      <c r="D435" s="292"/>
      <c r="E435" s="26"/>
      <c r="F435" s="26"/>
      <c r="G435" s="26"/>
      <c r="H435" s="26"/>
      <c r="I435" s="26"/>
      <c r="J435" s="26"/>
      <c r="K435" s="26"/>
      <c r="L435" s="26"/>
      <c r="M435" s="26"/>
      <c r="N435" s="26"/>
      <c r="O435" s="26"/>
      <c r="P435" s="26"/>
      <c r="Q435" s="21"/>
    </row>
    <row r="436" spans="1:17" x14ac:dyDescent="0.25">
      <c r="A436" s="12"/>
      <c r="B436" s="12"/>
      <c r="C436" s="14"/>
      <c r="D436" s="292"/>
      <c r="E436" s="26"/>
      <c r="F436" s="26"/>
      <c r="G436" s="26"/>
      <c r="H436" s="26"/>
      <c r="I436" s="26"/>
      <c r="J436" s="26"/>
      <c r="K436" s="26"/>
      <c r="L436" s="26"/>
      <c r="M436" s="26"/>
      <c r="N436" s="26"/>
      <c r="O436" s="26"/>
      <c r="P436" s="26"/>
      <c r="Q436" s="21"/>
    </row>
    <row r="437" spans="1:17" x14ac:dyDescent="0.25">
      <c r="A437" s="12"/>
      <c r="B437" s="12"/>
      <c r="C437" s="14"/>
      <c r="D437" s="292"/>
      <c r="E437" s="26"/>
      <c r="F437" s="26"/>
      <c r="G437" s="26"/>
      <c r="H437" s="26"/>
      <c r="I437" s="26"/>
      <c r="J437" s="26"/>
      <c r="K437" s="26"/>
      <c r="L437" s="26"/>
      <c r="M437" s="26"/>
      <c r="N437" s="26"/>
      <c r="O437" s="26"/>
      <c r="P437" s="26"/>
      <c r="Q437" s="21"/>
    </row>
    <row r="438" spans="1:17" x14ac:dyDescent="0.25">
      <c r="A438" s="12"/>
      <c r="B438" s="12"/>
      <c r="C438" s="14"/>
      <c r="D438" s="292"/>
      <c r="E438" s="26"/>
      <c r="F438" s="26"/>
      <c r="G438" s="26"/>
      <c r="H438" s="26"/>
      <c r="I438" s="26"/>
      <c r="J438" s="26"/>
      <c r="K438" s="26"/>
      <c r="L438" s="26"/>
      <c r="M438" s="26"/>
      <c r="N438" s="26"/>
      <c r="O438" s="26"/>
      <c r="P438" s="26"/>
      <c r="Q438" s="21"/>
    </row>
    <row r="439" spans="1:17" x14ac:dyDescent="0.25">
      <c r="A439" s="12"/>
      <c r="B439" s="12"/>
      <c r="C439" s="14"/>
      <c r="D439" s="292"/>
      <c r="E439" s="26"/>
      <c r="F439" s="26"/>
      <c r="G439" s="26"/>
      <c r="H439" s="26"/>
      <c r="I439" s="26"/>
      <c r="J439" s="26"/>
      <c r="K439" s="26"/>
      <c r="L439" s="26"/>
      <c r="M439" s="26"/>
      <c r="N439" s="26"/>
      <c r="O439" s="26"/>
      <c r="P439" s="26"/>
      <c r="Q439" s="21"/>
    </row>
    <row r="440" spans="1:17" x14ac:dyDescent="0.25">
      <c r="A440" s="5"/>
      <c r="B440" s="5"/>
      <c r="C440" s="5"/>
      <c r="E440" s="23"/>
      <c r="F440" s="23"/>
      <c r="G440" s="23"/>
      <c r="H440" s="23"/>
      <c r="I440" s="23"/>
      <c r="J440" s="23"/>
      <c r="K440" s="23"/>
      <c r="L440" s="23"/>
      <c r="M440" s="23"/>
      <c r="N440" s="23"/>
      <c r="O440" s="23"/>
      <c r="P440" s="23"/>
      <c r="Q440" s="21"/>
    </row>
    <row r="441" spans="1:17" x14ac:dyDescent="0.25">
      <c r="A441" s="22"/>
      <c r="B441" s="22"/>
      <c r="C441" s="22"/>
      <c r="D441" s="301"/>
      <c r="E441" s="33"/>
      <c r="F441" s="33"/>
      <c r="G441" s="33"/>
      <c r="H441" s="33"/>
      <c r="I441" s="33"/>
      <c r="J441" s="33"/>
      <c r="K441" s="33"/>
      <c r="L441" s="33"/>
      <c r="M441" s="33"/>
      <c r="N441" s="33"/>
      <c r="O441" s="33"/>
      <c r="P441" s="33"/>
      <c r="Q441" s="21"/>
    </row>
    <row r="442" spans="1:17" x14ac:dyDescent="0.25">
      <c r="A442" s="12"/>
      <c r="B442" s="12"/>
      <c r="C442" s="14"/>
      <c r="D442" s="292"/>
      <c r="E442" s="26"/>
      <c r="F442" s="26"/>
      <c r="G442" s="26"/>
      <c r="H442" s="26"/>
      <c r="I442" s="26"/>
      <c r="J442" s="26"/>
      <c r="K442" s="26"/>
      <c r="L442" s="26"/>
      <c r="M442" s="26"/>
      <c r="N442" s="26"/>
      <c r="O442" s="26"/>
      <c r="P442" s="26"/>
      <c r="Q442" s="21"/>
    </row>
    <row r="443" spans="1:17" x14ac:dyDescent="0.25">
      <c r="A443" s="12"/>
      <c r="B443" s="12"/>
      <c r="C443" s="14"/>
      <c r="D443" s="292"/>
      <c r="E443" s="26"/>
      <c r="F443" s="26"/>
      <c r="G443" s="26"/>
      <c r="H443" s="26"/>
      <c r="I443" s="26"/>
      <c r="J443" s="26"/>
      <c r="K443" s="26"/>
      <c r="L443" s="26"/>
      <c r="M443" s="26"/>
      <c r="N443" s="26"/>
      <c r="O443" s="26"/>
      <c r="P443" s="26"/>
      <c r="Q443" s="21"/>
    </row>
    <row r="444" spans="1:17" x14ac:dyDescent="0.25">
      <c r="A444" s="12"/>
      <c r="B444" s="12"/>
      <c r="C444" s="14"/>
      <c r="D444" s="292"/>
      <c r="E444" s="26"/>
      <c r="F444" s="26"/>
      <c r="G444" s="26"/>
      <c r="H444" s="26"/>
      <c r="I444" s="26"/>
      <c r="J444" s="26"/>
      <c r="K444" s="26"/>
      <c r="L444" s="26"/>
      <c r="M444" s="26"/>
      <c r="N444" s="26"/>
      <c r="O444" s="26"/>
      <c r="P444" s="26"/>
      <c r="Q444" s="21"/>
    </row>
    <row r="445" spans="1:17" x14ac:dyDescent="0.25">
      <c r="A445" s="12"/>
      <c r="B445" s="12"/>
      <c r="C445" s="14"/>
      <c r="D445" s="292"/>
      <c r="E445" s="26"/>
      <c r="F445" s="26"/>
      <c r="G445" s="26"/>
      <c r="H445" s="26"/>
      <c r="I445" s="26"/>
      <c r="J445" s="26"/>
      <c r="K445" s="26"/>
      <c r="L445" s="26"/>
      <c r="M445" s="26"/>
      <c r="N445" s="26"/>
      <c r="O445" s="26"/>
      <c r="P445" s="26"/>
      <c r="Q445" s="21"/>
    </row>
    <row r="446" spans="1:17" x14ac:dyDescent="0.25">
      <c r="A446" s="12"/>
      <c r="B446" s="12"/>
      <c r="C446" s="14"/>
      <c r="D446" s="292"/>
      <c r="E446" s="26"/>
      <c r="F446" s="26"/>
      <c r="G446" s="26"/>
      <c r="H446" s="26"/>
      <c r="I446" s="26"/>
      <c r="J446" s="26"/>
      <c r="K446" s="26"/>
      <c r="L446" s="26"/>
      <c r="M446" s="26"/>
      <c r="N446" s="26"/>
      <c r="O446" s="26"/>
      <c r="P446" s="26"/>
      <c r="Q446" s="21"/>
    </row>
    <row r="447" spans="1:17" x14ac:dyDescent="0.25">
      <c r="A447" s="12"/>
      <c r="B447" s="12"/>
      <c r="C447" s="14"/>
      <c r="D447" s="292"/>
      <c r="E447" s="26"/>
      <c r="F447" s="26"/>
      <c r="G447" s="26"/>
      <c r="H447" s="26"/>
      <c r="I447" s="26"/>
      <c r="J447" s="26"/>
      <c r="K447" s="26"/>
      <c r="L447" s="26"/>
      <c r="M447" s="26"/>
      <c r="N447" s="26"/>
      <c r="O447" s="26"/>
      <c r="P447" s="26"/>
      <c r="Q447" s="21"/>
    </row>
    <row r="448" spans="1:17" x14ac:dyDescent="0.25">
      <c r="A448" s="12"/>
      <c r="B448" s="12"/>
      <c r="C448" s="14"/>
      <c r="D448" s="292"/>
      <c r="E448" s="26"/>
      <c r="F448" s="26"/>
      <c r="G448" s="26"/>
      <c r="H448" s="26"/>
      <c r="I448" s="26"/>
      <c r="J448" s="26"/>
      <c r="K448" s="26"/>
      <c r="L448" s="26"/>
      <c r="M448" s="26"/>
      <c r="N448" s="26"/>
      <c r="O448" s="26"/>
      <c r="P448" s="26"/>
      <c r="Q448" s="21"/>
    </row>
    <row r="449" spans="1:17" x14ac:dyDescent="0.25">
      <c r="A449" s="12"/>
      <c r="B449" s="12"/>
      <c r="C449" s="14"/>
      <c r="D449" s="292"/>
      <c r="E449" s="26"/>
      <c r="F449" s="26"/>
      <c r="G449" s="26"/>
      <c r="H449" s="26"/>
      <c r="I449" s="26"/>
      <c r="J449" s="26"/>
      <c r="K449" s="26"/>
      <c r="L449" s="26"/>
      <c r="M449" s="26"/>
      <c r="N449" s="26"/>
      <c r="O449" s="26"/>
      <c r="P449" s="26"/>
      <c r="Q449" s="21"/>
    </row>
    <row r="450" spans="1:17" x14ac:dyDescent="0.25">
      <c r="A450" s="12"/>
      <c r="B450" s="12"/>
      <c r="C450" s="14"/>
      <c r="D450" s="292"/>
      <c r="E450" s="26"/>
      <c r="F450" s="26"/>
      <c r="G450" s="26"/>
      <c r="H450" s="26"/>
      <c r="I450" s="26"/>
      <c r="J450" s="26"/>
      <c r="K450" s="26"/>
      <c r="L450" s="26"/>
      <c r="M450" s="26"/>
      <c r="N450" s="26"/>
      <c r="O450" s="26"/>
      <c r="P450" s="26"/>
      <c r="Q450" s="21"/>
    </row>
    <row r="451" spans="1:17" x14ac:dyDescent="0.25">
      <c r="A451" s="12"/>
      <c r="B451" s="12"/>
      <c r="C451" s="14"/>
      <c r="D451" s="292"/>
      <c r="E451" s="26"/>
      <c r="F451" s="26"/>
      <c r="G451" s="26"/>
      <c r="H451" s="26"/>
      <c r="I451" s="26"/>
      <c r="J451" s="26"/>
      <c r="K451" s="26"/>
      <c r="L451" s="26"/>
      <c r="M451" s="26"/>
      <c r="N451" s="26"/>
      <c r="O451" s="26"/>
      <c r="P451" s="26"/>
      <c r="Q451" s="21"/>
    </row>
    <row r="452" spans="1:17" x14ac:dyDescent="0.25">
      <c r="A452" s="12"/>
      <c r="B452" s="12"/>
      <c r="C452" s="14"/>
      <c r="D452" s="292"/>
      <c r="E452" s="26"/>
      <c r="F452" s="26"/>
      <c r="G452" s="26"/>
      <c r="H452" s="26"/>
      <c r="I452" s="26"/>
      <c r="J452" s="26"/>
      <c r="K452" s="26"/>
      <c r="L452" s="26"/>
      <c r="M452" s="26"/>
      <c r="N452" s="26"/>
      <c r="O452" s="26"/>
      <c r="P452" s="26"/>
      <c r="Q452" s="21"/>
    </row>
    <row r="453" spans="1:17" x14ac:dyDescent="0.25">
      <c r="A453" s="12"/>
      <c r="B453" s="12"/>
      <c r="C453" s="14"/>
      <c r="D453" s="292"/>
      <c r="E453" s="26"/>
      <c r="F453" s="26"/>
      <c r="G453" s="26"/>
      <c r="H453" s="26"/>
      <c r="I453" s="26"/>
      <c r="J453" s="26"/>
      <c r="K453" s="26"/>
      <c r="L453" s="26"/>
      <c r="M453" s="26"/>
      <c r="N453" s="26"/>
      <c r="O453" s="26"/>
      <c r="P453" s="26"/>
      <c r="Q453" s="21"/>
    </row>
    <row r="454" spans="1:17" x14ac:dyDescent="0.25">
      <c r="A454" s="12"/>
      <c r="B454" s="12"/>
      <c r="C454" s="14"/>
      <c r="D454" s="292"/>
      <c r="E454" s="26"/>
      <c r="F454" s="26"/>
      <c r="G454" s="26"/>
      <c r="H454" s="26"/>
      <c r="I454" s="26"/>
      <c r="J454" s="26"/>
      <c r="K454" s="26"/>
      <c r="L454" s="26"/>
      <c r="M454" s="26"/>
      <c r="N454" s="26"/>
      <c r="O454" s="26"/>
      <c r="P454" s="26"/>
      <c r="Q454" s="21"/>
    </row>
    <row r="455" spans="1:17" x14ac:dyDescent="0.25">
      <c r="C455" s="8"/>
      <c r="E455" s="23"/>
      <c r="F455" s="23"/>
      <c r="G455" s="23"/>
      <c r="H455" s="23"/>
      <c r="I455" s="23"/>
      <c r="J455" s="23"/>
      <c r="K455" s="23"/>
      <c r="L455" s="23"/>
      <c r="M455" s="23"/>
      <c r="N455" s="23"/>
      <c r="O455" s="23"/>
      <c r="P455" s="23"/>
    </row>
    <row r="456" spans="1:17" x14ac:dyDescent="0.25">
      <c r="A456" s="22"/>
      <c r="B456" s="22"/>
      <c r="C456" s="22"/>
      <c r="D456" s="301"/>
      <c r="E456" s="33"/>
      <c r="F456" s="33"/>
      <c r="G456" s="33"/>
      <c r="H456" s="33"/>
      <c r="I456" s="33"/>
      <c r="J456" s="33"/>
      <c r="K456" s="33"/>
      <c r="L456" s="33"/>
      <c r="M456" s="33"/>
      <c r="N456" s="33"/>
      <c r="O456" s="33"/>
      <c r="P456" s="33"/>
      <c r="Q456" s="21"/>
    </row>
    <row r="457" spans="1:17" x14ac:dyDescent="0.25">
      <c r="A457" s="12"/>
      <c r="B457" s="12"/>
      <c r="C457" s="14"/>
      <c r="D457" s="301"/>
      <c r="E457" s="26"/>
      <c r="F457" s="26"/>
      <c r="G457" s="26"/>
      <c r="H457" s="26"/>
      <c r="I457" s="26"/>
      <c r="J457" s="26"/>
      <c r="K457" s="26"/>
      <c r="L457" s="26"/>
      <c r="M457" s="26"/>
      <c r="N457" s="26"/>
      <c r="O457" s="26"/>
      <c r="P457" s="26"/>
      <c r="Q457" s="21"/>
    </row>
    <row r="458" spans="1:17" x14ac:dyDescent="0.25">
      <c r="A458" s="12"/>
      <c r="B458" s="12"/>
      <c r="C458" s="14"/>
      <c r="D458" s="301"/>
      <c r="E458" s="26"/>
      <c r="F458" s="26"/>
      <c r="G458" s="26"/>
      <c r="H458" s="26"/>
      <c r="I458" s="26"/>
      <c r="J458" s="26"/>
      <c r="K458" s="26"/>
      <c r="L458" s="26"/>
      <c r="M458" s="26"/>
      <c r="N458" s="26"/>
      <c r="O458" s="26"/>
      <c r="P458" s="26"/>
      <c r="Q458" s="21"/>
    </row>
    <row r="459" spans="1:17" x14ac:dyDescent="0.25">
      <c r="A459" s="12"/>
      <c r="B459" s="12"/>
      <c r="C459" s="14"/>
      <c r="D459" s="301"/>
      <c r="E459" s="26"/>
      <c r="F459" s="26"/>
      <c r="G459" s="26"/>
      <c r="H459" s="26"/>
      <c r="I459" s="26"/>
      <c r="J459" s="26"/>
      <c r="K459" s="26"/>
      <c r="L459" s="26"/>
      <c r="M459" s="26"/>
      <c r="N459" s="26"/>
      <c r="O459" s="26"/>
      <c r="P459" s="26"/>
      <c r="Q459" s="21"/>
    </row>
    <row r="460" spans="1:17" x14ac:dyDescent="0.25">
      <c r="A460" s="12"/>
      <c r="B460" s="12"/>
      <c r="C460" s="14"/>
      <c r="D460" s="301"/>
      <c r="E460" s="26"/>
      <c r="F460" s="26"/>
      <c r="G460" s="26"/>
      <c r="H460" s="26"/>
      <c r="I460" s="26"/>
      <c r="J460" s="26"/>
      <c r="K460" s="26"/>
      <c r="L460" s="26"/>
      <c r="M460" s="26"/>
      <c r="N460" s="26"/>
      <c r="O460" s="26"/>
      <c r="P460" s="26"/>
      <c r="Q460" s="21"/>
    </row>
    <row r="461" spans="1:17" x14ac:dyDescent="0.25">
      <c r="A461" s="12"/>
      <c r="B461" s="12"/>
      <c r="C461" s="14"/>
      <c r="D461" s="301"/>
      <c r="E461" s="26"/>
      <c r="F461" s="26"/>
      <c r="G461" s="26"/>
      <c r="H461" s="26"/>
      <c r="I461" s="26"/>
      <c r="J461" s="26"/>
      <c r="K461" s="26"/>
      <c r="L461" s="26"/>
      <c r="M461" s="26"/>
      <c r="N461" s="26"/>
      <c r="O461" s="26"/>
      <c r="P461" s="26"/>
      <c r="Q461" s="21"/>
    </row>
    <row r="462" spans="1:17" x14ac:dyDescent="0.25">
      <c r="A462" s="12"/>
      <c r="B462" s="12"/>
      <c r="C462" s="14"/>
      <c r="D462" s="301"/>
      <c r="E462" s="26"/>
      <c r="F462" s="26"/>
      <c r="G462" s="26"/>
      <c r="H462" s="26"/>
      <c r="I462" s="26"/>
      <c r="J462" s="26"/>
      <c r="K462" s="26"/>
      <c r="L462" s="26"/>
      <c r="M462" s="26"/>
      <c r="N462" s="26"/>
      <c r="O462" s="26"/>
      <c r="P462" s="26"/>
      <c r="Q462" s="21"/>
    </row>
    <row r="463" spans="1:17" x14ac:dyDescent="0.25">
      <c r="A463" s="12"/>
      <c r="B463" s="12"/>
      <c r="C463" s="14"/>
      <c r="D463" s="301"/>
      <c r="E463" s="26"/>
      <c r="F463" s="26"/>
      <c r="G463" s="26"/>
      <c r="H463" s="26"/>
      <c r="I463" s="26"/>
      <c r="J463" s="26"/>
      <c r="K463" s="26"/>
      <c r="L463" s="26"/>
      <c r="M463" s="26"/>
      <c r="N463" s="26"/>
      <c r="O463" s="26"/>
      <c r="P463" s="26"/>
      <c r="Q463" s="21"/>
    </row>
    <row r="464" spans="1:17" x14ac:dyDescent="0.25">
      <c r="A464" s="12"/>
      <c r="B464" s="12"/>
      <c r="C464" s="14"/>
      <c r="D464" s="301"/>
      <c r="E464" s="26"/>
      <c r="F464" s="26"/>
      <c r="G464" s="26"/>
      <c r="H464" s="26"/>
      <c r="I464" s="26"/>
      <c r="J464" s="26"/>
      <c r="K464" s="26"/>
      <c r="L464" s="26"/>
      <c r="M464" s="26"/>
      <c r="N464" s="26"/>
      <c r="O464" s="26"/>
      <c r="P464" s="26"/>
      <c r="Q464" s="21"/>
    </row>
    <row r="465" spans="1:17" x14ac:dyDescent="0.25">
      <c r="A465" s="12"/>
      <c r="B465" s="12"/>
      <c r="C465" s="14"/>
      <c r="D465" s="301"/>
      <c r="E465" s="26"/>
      <c r="F465" s="26"/>
      <c r="G465" s="26"/>
      <c r="H465" s="26"/>
      <c r="I465" s="26"/>
      <c r="J465" s="26"/>
      <c r="K465" s="26"/>
      <c r="L465" s="26"/>
      <c r="M465" s="26"/>
      <c r="N465" s="26"/>
      <c r="O465" s="26"/>
      <c r="P465" s="26"/>
      <c r="Q465" s="21"/>
    </row>
    <row r="466" spans="1:17" x14ac:dyDescent="0.25">
      <c r="A466" s="12"/>
      <c r="B466" s="12"/>
      <c r="C466" s="14"/>
      <c r="D466" s="301"/>
      <c r="E466" s="26"/>
      <c r="F466" s="26"/>
      <c r="G466" s="26"/>
      <c r="H466" s="26"/>
      <c r="I466" s="26"/>
      <c r="J466" s="26"/>
      <c r="K466" s="26"/>
      <c r="L466" s="26"/>
      <c r="M466" s="26"/>
      <c r="N466" s="26"/>
      <c r="O466" s="26"/>
      <c r="P466" s="26"/>
      <c r="Q466" s="21"/>
    </row>
    <row r="467" spans="1:17" x14ac:dyDescent="0.25">
      <c r="A467" s="12"/>
      <c r="B467" s="12"/>
      <c r="C467" s="14"/>
      <c r="D467" s="301"/>
      <c r="E467" s="26"/>
      <c r="F467" s="26"/>
      <c r="G467" s="26"/>
      <c r="H467" s="26"/>
      <c r="I467" s="26"/>
      <c r="J467" s="26"/>
      <c r="K467" s="26"/>
      <c r="L467" s="26"/>
      <c r="M467" s="26"/>
      <c r="N467" s="26"/>
      <c r="O467" s="26"/>
      <c r="P467" s="26"/>
      <c r="Q467" s="21"/>
    </row>
    <row r="468" spans="1:17" x14ac:dyDescent="0.25">
      <c r="A468" s="12"/>
      <c r="B468" s="12"/>
      <c r="C468" s="14"/>
      <c r="D468" s="301"/>
      <c r="E468" s="26"/>
      <c r="F468" s="26"/>
      <c r="G468" s="26"/>
      <c r="H468" s="26"/>
      <c r="I468" s="26"/>
      <c r="J468" s="26"/>
      <c r="K468" s="26"/>
      <c r="L468" s="26"/>
      <c r="M468" s="26"/>
      <c r="N468" s="26"/>
      <c r="O468" s="26"/>
      <c r="P468" s="26"/>
      <c r="Q468" s="21"/>
    </row>
    <row r="469" spans="1:17" x14ac:dyDescent="0.25">
      <c r="A469" s="12"/>
      <c r="B469" s="12"/>
      <c r="C469" s="14"/>
      <c r="D469" s="301"/>
      <c r="E469" s="26"/>
      <c r="F469" s="26"/>
      <c r="G469" s="26"/>
      <c r="H469" s="26"/>
      <c r="I469" s="26"/>
      <c r="J469" s="26"/>
      <c r="K469" s="26"/>
      <c r="L469" s="26"/>
      <c r="M469" s="26"/>
      <c r="N469" s="26"/>
      <c r="O469" s="26"/>
      <c r="P469" s="26"/>
      <c r="Q469" s="21"/>
    </row>
    <row r="470" spans="1:17" x14ac:dyDescent="0.25">
      <c r="A470" s="22"/>
      <c r="B470" s="22"/>
      <c r="C470" s="22"/>
      <c r="D470" s="301"/>
      <c r="E470" s="23"/>
      <c r="F470" s="23"/>
      <c r="G470" s="23"/>
      <c r="H470" s="23"/>
      <c r="I470" s="23"/>
      <c r="J470" s="23"/>
      <c r="K470" s="23"/>
      <c r="L470" s="23"/>
      <c r="M470" s="23"/>
      <c r="N470" s="23"/>
      <c r="O470" s="23"/>
      <c r="P470" s="23"/>
      <c r="Q470" s="21"/>
    </row>
    <row r="471" spans="1:17" x14ac:dyDescent="0.25">
      <c r="A471" s="22"/>
      <c r="B471" s="22"/>
      <c r="C471" s="22"/>
      <c r="D471" s="301"/>
      <c r="E471" s="33"/>
      <c r="F471" s="33"/>
      <c r="G471" s="33"/>
      <c r="H471" s="33"/>
      <c r="I471" s="33"/>
      <c r="J471" s="33"/>
      <c r="K471" s="33"/>
      <c r="L471" s="33"/>
      <c r="M471" s="33"/>
      <c r="N471" s="33"/>
      <c r="O471" s="33"/>
      <c r="P471" s="33"/>
      <c r="Q471" s="21"/>
    </row>
    <row r="472" spans="1:17" x14ac:dyDescent="0.25">
      <c r="A472" s="12"/>
      <c r="B472" s="12"/>
      <c r="C472" s="14"/>
      <c r="D472" s="301"/>
      <c r="E472" s="26"/>
      <c r="F472" s="26"/>
      <c r="G472" s="26"/>
      <c r="H472" s="26"/>
      <c r="I472" s="26"/>
      <c r="J472" s="26"/>
      <c r="K472" s="26"/>
      <c r="L472" s="26"/>
      <c r="M472" s="26"/>
      <c r="N472" s="26"/>
      <c r="O472" s="26"/>
      <c r="P472" s="26"/>
      <c r="Q472" s="21"/>
    </row>
    <row r="473" spans="1:17" x14ac:dyDescent="0.25">
      <c r="A473" s="12"/>
      <c r="B473" s="12"/>
      <c r="C473" s="14"/>
      <c r="D473" s="301"/>
      <c r="E473" s="26"/>
      <c r="F473" s="26"/>
      <c r="G473" s="26"/>
      <c r="H473" s="26"/>
      <c r="I473" s="26"/>
      <c r="J473" s="26"/>
      <c r="K473" s="26"/>
      <c r="L473" s="26"/>
      <c r="M473" s="26"/>
      <c r="N473" s="26"/>
      <c r="O473" s="26"/>
      <c r="P473" s="26"/>
      <c r="Q473" s="21"/>
    </row>
    <row r="474" spans="1:17" x14ac:dyDescent="0.25">
      <c r="A474" s="12"/>
      <c r="B474" s="12"/>
      <c r="C474" s="14"/>
      <c r="D474" s="301"/>
      <c r="E474" s="26"/>
      <c r="F474" s="26"/>
      <c r="G474" s="26"/>
      <c r="H474" s="26"/>
      <c r="I474" s="26"/>
      <c r="J474" s="26"/>
      <c r="K474" s="26"/>
      <c r="L474" s="26"/>
      <c r="M474" s="26"/>
      <c r="N474" s="26"/>
      <c r="O474" s="26"/>
      <c r="P474" s="26"/>
      <c r="Q474" s="21"/>
    </row>
    <row r="475" spans="1:17" x14ac:dyDescent="0.25">
      <c r="A475" s="12"/>
      <c r="B475" s="12"/>
      <c r="C475" s="14"/>
      <c r="D475" s="301"/>
      <c r="E475" s="26"/>
      <c r="F475" s="26"/>
      <c r="G475" s="26"/>
      <c r="H475" s="26"/>
      <c r="I475" s="26"/>
      <c r="J475" s="26"/>
      <c r="K475" s="26"/>
      <c r="L475" s="26"/>
      <c r="M475" s="26"/>
      <c r="N475" s="26"/>
      <c r="O475" s="26"/>
      <c r="P475" s="26"/>
      <c r="Q475" s="21"/>
    </row>
    <row r="476" spans="1:17" x14ac:dyDescent="0.25">
      <c r="A476" s="12"/>
      <c r="B476" s="12"/>
      <c r="C476" s="14"/>
      <c r="D476" s="301"/>
      <c r="E476" s="26"/>
      <c r="F476" s="26"/>
      <c r="G476" s="26"/>
      <c r="H476" s="26"/>
      <c r="I476" s="26"/>
      <c r="J476" s="26"/>
      <c r="K476" s="26"/>
      <c r="L476" s="26"/>
      <c r="M476" s="26"/>
      <c r="N476" s="26"/>
      <c r="O476" s="26"/>
      <c r="P476" s="26"/>
      <c r="Q476" s="21"/>
    </row>
    <row r="477" spans="1:17" x14ac:dyDescent="0.25">
      <c r="A477" s="12"/>
      <c r="B477" s="12"/>
      <c r="C477" s="14"/>
      <c r="D477" s="301"/>
      <c r="E477" s="26"/>
      <c r="F477" s="26"/>
      <c r="G477" s="26"/>
      <c r="H477" s="26"/>
      <c r="I477" s="26"/>
      <c r="J477" s="26"/>
      <c r="K477" s="26"/>
      <c r="L477" s="26"/>
      <c r="M477" s="26"/>
      <c r="N477" s="26"/>
      <c r="O477" s="26"/>
      <c r="P477" s="26"/>
      <c r="Q477" s="21"/>
    </row>
    <row r="478" spans="1:17" x14ac:dyDescent="0.25">
      <c r="A478" s="12"/>
      <c r="B478" s="12"/>
      <c r="C478" s="14"/>
      <c r="D478" s="301"/>
      <c r="E478" s="26"/>
      <c r="F478" s="26"/>
      <c r="G478" s="26"/>
      <c r="H478" s="26"/>
      <c r="I478" s="26"/>
      <c r="J478" s="26"/>
      <c r="K478" s="26"/>
      <c r="L478" s="26"/>
      <c r="M478" s="26"/>
      <c r="N478" s="26"/>
      <c r="O478" s="26"/>
      <c r="P478" s="26"/>
      <c r="Q478" s="21"/>
    </row>
    <row r="479" spans="1:17" x14ac:dyDescent="0.25">
      <c r="A479" s="12"/>
      <c r="B479" s="12"/>
      <c r="C479" s="14"/>
      <c r="D479" s="301"/>
      <c r="E479" s="26"/>
      <c r="F479" s="26"/>
      <c r="G479" s="26"/>
      <c r="H479" s="26"/>
      <c r="I479" s="26"/>
      <c r="J479" s="26"/>
      <c r="K479" s="26"/>
      <c r="L479" s="26"/>
      <c r="M479" s="26"/>
      <c r="N479" s="26"/>
      <c r="O479" s="26"/>
      <c r="P479" s="26"/>
      <c r="Q479" s="21"/>
    </row>
    <row r="480" spans="1:17" x14ac:dyDescent="0.25">
      <c r="A480" s="12"/>
      <c r="B480" s="12"/>
      <c r="C480" s="14"/>
      <c r="D480" s="301"/>
      <c r="E480" s="26"/>
      <c r="F480" s="26"/>
      <c r="G480" s="26"/>
      <c r="H480" s="26"/>
      <c r="I480" s="26"/>
      <c r="J480" s="26"/>
      <c r="K480" s="26"/>
      <c r="L480" s="26"/>
      <c r="M480" s="26"/>
      <c r="N480" s="26"/>
      <c r="O480" s="26"/>
      <c r="P480" s="26"/>
      <c r="Q480" s="21"/>
    </row>
    <row r="481" spans="1:17" x14ac:dyDescent="0.25">
      <c r="A481" s="12"/>
      <c r="B481" s="12"/>
      <c r="C481" s="14"/>
      <c r="D481" s="301"/>
      <c r="E481" s="26"/>
      <c r="F481" s="26"/>
      <c r="G481" s="26"/>
      <c r="H481" s="26"/>
      <c r="I481" s="26"/>
      <c r="J481" s="26"/>
      <c r="K481" s="26"/>
      <c r="L481" s="26"/>
      <c r="M481" s="26"/>
      <c r="N481" s="26"/>
      <c r="O481" s="26"/>
      <c r="P481" s="26"/>
      <c r="Q481" s="21"/>
    </row>
    <row r="482" spans="1:17" x14ac:dyDescent="0.25">
      <c r="A482" s="12"/>
      <c r="B482" s="12"/>
      <c r="C482" s="14"/>
      <c r="D482" s="301"/>
      <c r="E482" s="26"/>
      <c r="F482" s="26"/>
      <c r="G482" s="26"/>
      <c r="H482" s="26"/>
      <c r="I482" s="26"/>
      <c r="J482" s="26"/>
      <c r="K482" s="26"/>
      <c r="L482" s="26"/>
      <c r="M482" s="26"/>
      <c r="N482" s="26"/>
      <c r="O482" s="26"/>
      <c r="P482" s="26"/>
      <c r="Q482" s="21"/>
    </row>
    <row r="483" spans="1:17" x14ac:dyDescent="0.25">
      <c r="A483" s="12"/>
      <c r="B483" s="12"/>
      <c r="C483" s="14"/>
      <c r="D483" s="301"/>
      <c r="E483" s="26"/>
      <c r="F483" s="26"/>
      <c r="G483" s="26"/>
      <c r="H483" s="26"/>
      <c r="I483" s="26"/>
      <c r="J483" s="26"/>
      <c r="K483" s="26"/>
      <c r="L483" s="26"/>
      <c r="M483" s="26"/>
      <c r="N483" s="26"/>
      <c r="O483" s="26"/>
      <c r="P483" s="26"/>
      <c r="Q483" s="21"/>
    </row>
    <row r="484" spans="1:17" x14ac:dyDescent="0.25">
      <c r="A484" s="12"/>
      <c r="B484" s="12"/>
      <c r="C484" s="14"/>
      <c r="D484" s="301"/>
      <c r="E484" s="26"/>
      <c r="F484" s="26"/>
      <c r="G484" s="26"/>
      <c r="H484" s="26"/>
      <c r="I484" s="26"/>
      <c r="J484" s="26"/>
      <c r="K484" s="26"/>
      <c r="L484" s="26"/>
      <c r="M484" s="26"/>
      <c r="N484" s="26"/>
      <c r="O484" s="26"/>
      <c r="P484" s="26"/>
      <c r="Q484" s="21"/>
    </row>
    <row r="485" spans="1:17" x14ac:dyDescent="0.25">
      <c r="A485" s="22"/>
      <c r="B485" s="22"/>
      <c r="C485" s="22"/>
      <c r="D485" s="301"/>
      <c r="E485" s="23"/>
      <c r="F485" s="23"/>
      <c r="G485" s="23"/>
      <c r="H485" s="23"/>
      <c r="I485" s="23"/>
      <c r="J485" s="23"/>
      <c r="K485" s="23"/>
      <c r="L485" s="23"/>
      <c r="M485" s="23"/>
      <c r="N485" s="23"/>
      <c r="O485" s="23"/>
      <c r="P485" s="23"/>
      <c r="Q485" s="21"/>
    </row>
    <row r="486" spans="1:17" x14ac:dyDescent="0.25">
      <c r="A486" s="22"/>
      <c r="B486" s="22"/>
      <c r="C486" s="22"/>
      <c r="D486" s="301"/>
      <c r="E486" s="33"/>
      <c r="F486" s="33"/>
      <c r="G486" s="33"/>
      <c r="H486" s="33"/>
      <c r="I486" s="33"/>
      <c r="J486" s="33"/>
      <c r="K486" s="33"/>
      <c r="L486" s="33"/>
      <c r="M486" s="33"/>
      <c r="N486" s="33"/>
      <c r="O486" s="33"/>
      <c r="P486" s="33"/>
      <c r="Q486" s="21"/>
    </row>
    <row r="487" spans="1:17" x14ac:dyDescent="0.25">
      <c r="A487" s="12"/>
      <c r="B487" s="12"/>
      <c r="C487" s="22"/>
      <c r="D487" s="301"/>
      <c r="E487" s="26"/>
      <c r="F487" s="26"/>
      <c r="G487" s="26"/>
      <c r="H487" s="26"/>
      <c r="I487" s="26"/>
      <c r="J487" s="26"/>
      <c r="K487" s="26"/>
      <c r="L487" s="26"/>
      <c r="M487" s="26"/>
      <c r="N487" s="26"/>
      <c r="O487" s="26"/>
      <c r="P487" s="26"/>
      <c r="Q487" s="21"/>
    </row>
    <row r="488" spans="1:17" x14ac:dyDescent="0.25">
      <c r="A488" s="12"/>
      <c r="B488" s="12"/>
      <c r="C488" s="22"/>
      <c r="D488" s="301"/>
      <c r="E488" s="26"/>
      <c r="F488" s="26"/>
      <c r="G488" s="26"/>
      <c r="H488" s="26"/>
      <c r="I488" s="26"/>
      <c r="J488" s="26"/>
      <c r="K488" s="26"/>
      <c r="L488" s="26"/>
      <c r="M488" s="26"/>
      <c r="N488" s="26"/>
      <c r="O488" s="26"/>
      <c r="P488" s="26"/>
      <c r="Q488" s="21"/>
    </row>
    <row r="489" spans="1:17" x14ac:dyDescent="0.25">
      <c r="A489" s="12"/>
      <c r="B489" s="12"/>
      <c r="C489" s="22"/>
      <c r="D489" s="301"/>
      <c r="E489" s="26"/>
      <c r="F489" s="26"/>
      <c r="G489" s="26"/>
      <c r="H489" s="26"/>
      <c r="I489" s="26"/>
      <c r="J489" s="26"/>
      <c r="K489" s="26"/>
      <c r="L489" s="26"/>
      <c r="M489" s="26"/>
      <c r="N489" s="26"/>
      <c r="O489" s="26"/>
      <c r="P489" s="26"/>
      <c r="Q489" s="21"/>
    </row>
    <row r="490" spans="1:17" x14ac:dyDescent="0.25">
      <c r="A490" s="12"/>
      <c r="B490" s="12"/>
      <c r="C490" s="22"/>
      <c r="D490" s="301"/>
      <c r="E490" s="26"/>
      <c r="F490" s="26"/>
      <c r="G490" s="26"/>
      <c r="H490" s="26"/>
      <c r="I490" s="26"/>
      <c r="J490" s="26"/>
      <c r="K490" s="26"/>
      <c r="L490" s="26"/>
      <c r="M490" s="26"/>
      <c r="N490" s="26"/>
      <c r="O490" s="26"/>
      <c r="P490" s="26"/>
      <c r="Q490" s="21"/>
    </row>
    <row r="491" spans="1:17" x14ac:dyDescent="0.25">
      <c r="A491" s="12"/>
      <c r="B491" s="12"/>
      <c r="C491" s="22"/>
      <c r="D491" s="301"/>
      <c r="E491" s="26"/>
      <c r="F491" s="26"/>
      <c r="G491" s="26"/>
      <c r="H491" s="26"/>
      <c r="I491" s="26"/>
      <c r="J491" s="26"/>
      <c r="K491" s="26"/>
      <c r="L491" s="26"/>
      <c r="M491" s="26"/>
      <c r="N491" s="26"/>
      <c r="O491" s="26"/>
      <c r="P491" s="26"/>
      <c r="Q491" s="21"/>
    </row>
    <row r="492" spans="1:17" x14ac:dyDescent="0.25">
      <c r="A492" s="12"/>
      <c r="B492" s="12"/>
      <c r="C492" s="22"/>
      <c r="D492" s="301"/>
      <c r="E492" s="26"/>
      <c r="F492" s="26"/>
      <c r="G492" s="26"/>
      <c r="H492" s="26"/>
      <c r="I492" s="26"/>
      <c r="J492" s="26"/>
      <c r="K492" s="26"/>
      <c r="L492" s="26"/>
      <c r="M492" s="26"/>
      <c r="N492" s="26"/>
      <c r="O492" s="26"/>
      <c r="P492" s="26"/>
      <c r="Q492" s="21"/>
    </row>
    <row r="493" spans="1:17" x14ac:dyDescent="0.25">
      <c r="A493" s="12"/>
      <c r="B493" s="12"/>
      <c r="C493" s="22"/>
      <c r="D493" s="301"/>
      <c r="E493" s="26"/>
      <c r="F493" s="26"/>
      <c r="G493" s="26"/>
      <c r="H493" s="26"/>
      <c r="I493" s="26"/>
      <c r="J493" s="26"/>
      <c r="K493" s="26"/>
      <c r="L493" s="26"/>
      <c r="M493" s="26"/>
      <c r="N493" s="26"/>
      <c r="O493" s="26"/>
      <c r="P493" s="26"/>
      <c r="Q493" s="21"/>
    </row>
    <row r="494" spans="1:17" x14ac:dyDescent="0.25">
      <c r="A494" s="12"/>
      <c r="B494" s="12"/>
      <c r="C494" s="22"/>
      <c r="D494" s="301"/>
      <c r="E494" s="26"/>
      <c r="F494" s="26"/>
      <c r="G494" s="26"/>
      <c r="H494" s="26"/>
      <c r="I494" s="26"/>
      <c r="J494" s="26"/>
      <c r="K494" s="26"/>
      <c r="L494" s="26"/>
      <c r="M494" s="26"/>
      <c r="N494" s="26"/>
      <c r="O494" s="26"/>
      <c r="P494" s="26"/>
      <c r="Q494" s="21"/>
    </row>
    <row r="495" spans="1:17" x14ac:dyDescent="0.25">
      <c r="A495" s="12"/>
      <c r="B495" s="12"/>
      <c r="C495" s="22"/>
      <c r="D495" s="301"/>
      <c r="E495" s="26"/>
      <c r="F495" s="26"/>
      <c r="G495" s="26"/>
      <c r="H495" s="26"/>
      <c r="I495" s="26"/>
      <c r="J495" s="26"/>
      <c r="K495" s="26"/>
      <c r="L495" s="26"/>
      <c r="M495" s="26"/>
      <c r="N495" s="26"/>
      <c r="O495" s="26"/>
      <c r="P495" s="26"/>
      <c r="Q495" s="21"/>
    </row>
    <row r="496" spans="1:17" x14ac:dyDescent="0.25">
      <c r="A496" s="12"/>
      <c r="B496" s="12"/>
      <c r="C496" s="22"/>
      <c r="D496" s="301"/>
      <c r="E496" s="26"/>
      <c r="F496" s="26"/>
      <c r="G496" s="26"/>
      <c r="H496" s="26"/>
      <c r="I496" s="26"/>
      <c r="J496" s="26"/>
      <c r="K496" s="26"/>
      <c r="L496" s="26"/>
      <c r="M496" s="26"/>
      <c r="N496" s="26"/>
      <c r="O496" s="26"/>
      <c r="P496" s="26"/>
      <c r="Q496" s="21"/>
    </row>
    <row r="497" spans="1:17" x14ac:dyDescent="0.25">
      <c r="A497" s="12"/>
      <c r="B497" s="12"/>
      <c r="C497" s="22"/>
      <c r="D497" s="301"/>
      <c r="E497" s="26"/>
      <c r="F497" s="26"/>
      <c r="G497" s="26"/>
      <c r="H497" s="26"/>
      <c r="I497" s="26"/>
      <c r="J497" s="26"/>
      <c r="K497" s="26"/>
      <c r="L497" s="26"/>
      <c r="M497" s="26"/>
      <c r="N497" s="26"/>
      <c r="O497" s="26"/>
      <c r="P497" s="26"/>
      <c r="Q497" s="21"/>
    </row>
    <row r="498" spans="1:17" x14ac:dyDescent="0.25">
      <c r="A498" s="12"/>
      <c r="B498" s="12"/>
      <c r="C498" s="22"/>
      <c r="D498" s="301"/>
      <c r="E498" s="13"/>
      <c r="F498" s="13"/>
      <c r="G498" s="13"/>
      <c r="H498" s="13"/>
      <c r="I498" s="13"/>
      <c r="J498" s="13"/>
      <c r="K498" s="13"/>
      <c r="L498" s="13"/>
      <c r="M498" s="13"/>
      <c r="N498" s="13"/>
      <c r="O498" s="13"/>
      <c r="P498" s="13"/>
      <c r="Q498" s="21"/>
    </row>
    <row r="499" spans="1:17" x14ac:dyDescent="0.25">
      <c r="A499" s="12"/>
      <c r="B499" s="12"/>
      <c r="C499" s="22"/>
      <c r="D499" s="301"/>
      <c r="E499" s="13"/>
      <c r="F499" s="13"/>
      <c r="G499" s="13"/>
      <c r="H499" s="13"/>
      <c r="I499" s="13"/>
      <c r="J499" s="13"/>
      <c r="K499" s="13"/>
      <c r="L499" s="13"/>
      <c r="M499" s="13"/>
      <c r="N499" s="13"/>
      <c r="O499" s="13"/>
      <c r="P499" s="13"/>
      <c r="Q499" s="21"/>
    </row>
    <row r="500" spans="1:17" x14ac:dyDescent="0.25">
      <c r="C500" s="8"/>
    </row>
    <row r="501" spans="1:17" x14ac:dyDescent="0.25">
      <c r="A501" s="22"/>
      <c r="B501" s="22"/>
      <c r="C501" s="8"/>
    </row>
    <row r="502" spans="1:17" x14ac:dyDescent="0.25">
      <c r="A502" s="4"/>
      <c r="B502" s="4"/>
      <c r="C502" s="4"/>
      <c r="D502" s="79"/>
      <c r="E502" s="14"/>
      <c r="F502" s="14"/>
      <c r="G502" s="14"/>
      <c r="H502" s="14"/>
      <c r="I502" s="14"/>
      <c r="J502" s="14"/>
      <c r="K502" s="14"/>
      <c r="L502" s="14"/>
      <c r="M502" s="14"/>
      <c r="N502" s="14"/>
      <c r="O502" s="14"/>
      <c r="P502" s="14"/>
      <c r="Q502" s="21"/>
    </row>
    <row r="503" spans="1:17" x14ac:dyDescent="0.25">
      <c r="A503" s="6"/>
      <c r="B503" s="6"/>
      <c r="C503" s="6"/>
      <c r="D503" s="79"/>
      <c r="E503" s="17"/>
      <c r="F503" s="17"/>
      <c r="G503" s="17"/>
      <c r="H503" s="17"/>
      <c r="I503" s="17"/>
      <c r="J503" s="17"/>
      <c r="K503" s="17"/>
      <c r="L503" s="17"/>
      <c r="M503" s="17"/>
      <c r="N503" s="17"/>
      <c r="O503" s="17"/>
      <c r="P503" s="17"/>
      <c r="Q503" s="21"/>
    </row>
    <row r="504" spans="1:17" x14ac:dyDescent="0.25">
      <c r="A504" s="4"/>
      <c r="B504" s="4"/>
      <c r="C504" s="4"/>
      <c r="D504" s="79"/>
      <c r="E504" s="14"/>
      <c r="F504" s="14"/>
      <c r="G504" s="14"/>
      <c r="H504" s="14"/>
      <c r="I504" s="14"/>
      <c r="J504" s="14"/>
      <c r="K504" s="14"/>
      <c r="L504" s="14"/>
      <c r="M504" s="14"/>
      <c r="N504" s="14"/>
      <c r="O504" s="14"/>
      <c r="P504" s="14"/>
      <c r="Q504" s="21"/>
    </row>
    <row r="505" spans="1:17" x14ac:dyDescent="0.25">
      <c r="A505" s="6"/>
      <c r="B505" s="6"/>
      <c r="C505" s="6"/>
      <c r="D505" s="79"/>
      <c r="E505" s="17"/>
      <c r="F505" s="17"/>
      <c r="G505" s="17"/>
      <c r="H505" s="17"/>
      <c r="I505" s="17"/>
      <c r="J505" s="17"/>
      <c r="K505" s="17"/>
      <c r="L505" s="17"/>
      <c r="M505" s="17"/>
      <c r="N505" s="17"/>
      <c r="O505" s="17"/>
      <c r="P505" s="17"/>
      <c r="Q505" s="21"/>
    </row>
    <row r="506" spans="1:17" x14ac:dyDescent="0.25">
      <c r="A506" s="4"/>
      <c r="B506" s="4"/>
      <c r="C506" s="4"/>
      <c r="D506" s="79"/>
      <c r="E506" s="14"/>
      <c r="F506" s="14"/>
      <c r="G506" s="14"/>
      <c r="H506" s="14"/>
      <c r="I506" s="14"/>
      <c r="J506" s="14"/>
      <c r="K506" s="14"/>
      <c r="L506" s="14"/>
      <c r="M506" s="14"/>
      <c r="N506" s="14"/>
      <c r="O506" s="14"/>
      <c r="P506" s="14"/>
      <c r="Q506" s="21"/>
    </row>
    <row r="507" spans="1:17" x14ac:dyDescent="0.25">
      <c r="A507" s="6"/>
      <c r="B507" s="6"/>
      <c r="C507" s="6"/>
      <c r="D507" s="79"/>
      <c r="E507" s="17"/>
      <c r="F507" s="17"/>
      <c r="G507" s="17"/>
      <c r="H507" s="17"/>
      <c r="I507" s="17"/>
      <c r="J507" s="17"/>
      <c r="K507" s="17"/>
      <c r="L507" s="17"/>
      <c r="M507" s="17"/>
      <c r="N507" s="17"/>
      <c r="O507" s="17"/>
      <c r="P507" s="17"/>
      <c r="Q507" s="21"/>
    </row>
    <row r="508" spans="1:17" x14ac:dyDescent="0.25">
      <c r="A508" s="5"/>
      <c r="B508" s="5"/>
      <c r="C508" s="5"/>
      <c r="E508" s="14"/>
      <c r="F508" s="14"/>
      <c r="G508" s="14"/>
      <c r="H508" s="14"/>
      <c r="I508" s="14"/>
      <c r="J508" s="14"/>
      <c r="K508" s="14"/>
      <c r="L508" s="14"/>
      <c r="M508" s="14"/>
      <c r="N508" s="14"/>
      <c r="O508" s="14"/>
      <c r="P508" s="14"/>
      <c r="Q508" s="21"/>
    </row>
    <row r="509" spans="1:17" x14ac:dyDescent="0.25">
      <c r="A509" s="22"/>
      <c r="B509" s="22"/>
      <c r="C509" s="22"/>
      <c r="D509" s="301"/>
      <c r="E509" s="17"/>
      <c r="F509" s="17"/>
      <c r="G509" s="17"/>
      <c r="H509" s="17"/>
      <c r="I509" s="17"/>
      <c r="J509" s="17"/>
      <c r="K509" s="17"/>
      <c r="L509" s="17"/>
      <c r="M509" s="17"/>
      <c r="N509" s="17"/>
      <c r="O509" s="17"/>
      <c r="P509" s="17"/>
      <c r="Q509" s="21"/>
    </row>
    <row r="510" spans="1:17" x14ac:dyDescent="0.25">
      <c r="A510" s="12"/>
      <c r="B510" s="12"/>
      <c r="C510" s="12"/>
      <c r="D510" s="292"/>
      <c r="E510" s="17"/>
      <c r="F510" s="17"/>
      <c r="G510" s="17"/>
      <c r="H510" s="17"/>
      <c r="I510" s="17"/>
      <c r="J510" s="17"/>
      <c r="K510" s="17"/>
      <c r="L510" s="17"/>
      <c r="M510" s="17"/>
      <c r="N510" s="17"/>
      <c r="O510" s="17"/>
      <c r="P510" s="17"/>
      <c r="Q510" s="21"/>
    </row>
    <row r="511" spans="1:17" x14ac:dyDescent="0.25">
      <c r="A511" s="12"/>
      <c r="B511" s="12"/>
      <c r="C511" s="12"/>
      <c r="D511" s="292"/>
      <c r="E511" s="17"/>
      <c r="F511" s="17"/>
      <c r="G511" s="17"/>
      <c r="H511" s="17"/>
      <c r="I511" s="17"/>
      <c r="J511" s="17"/>
      <c r="K511" s="17"/>
      <c r="L511" s="17"/>
      <c r="M511" s="17"/>
      <c r="N511" s="17"/>
      <c r="O511" s="17"/>
      <c r="P511" s="17"/>
      <c r="Q511" s="21"/>
    </row>
    <row r="512" spans="1:17" x14ac:dyDescent="0.25">
      <c r="A512" s="12"/>
      <c r="B512" s="12"/>
      <c r="C512" s="12"/>
      <c r="D512" s="292"/>
      <c r="E512" s="17"/>
      <c r="F512" s="17"/>
      <c r="G512" s="17"/>
      <c r="H512" s="17"/>
      <c r="I512" s="17"/>
      <c r="J512" s="17"/>
      <c r="K512" s="17"/>
      <c r="L512" s="17"/>
      <c r="M512" s="17"/>
      <c r="N512" s="17"/>
      <c r="O512" s="17"/>
      <c r="P512" s="17"/>
      <c r="Q512" s="21"/>
    </row>
    <row r="513" spans="1:17" x14ac:dyDescent="0.25">
      <c r="A513" s="12"/>
      <c r="B513" s="12"/>
      <c r="C513" s="12"/>
      <c r="D513" s="292"/>
      <c r="E513" s="17"/>
      <c r="F513" s="17"/>
      <c r="G513" s="17"/>
      <c r="H513" s="17"/>
      <c r="I513" s="17"/>
      <c r="J513" s="17"/>
      <c r="K513" s="17"/>
      <c r="L513" s="17"/>
      <c r="M513" s="17"/>
      <c r="N513" s="17"/>
      <c r="O513" s="17"/>
      <c r="P513" s="17"/>
      <c r="Q513" s="21"/>
    </row>
    <row r="514" spans="1:17" x14ac:dyDescent="0.25">
      <c r="A514" s="12"/>
      <c r="B514" s="12"/>
      <c r="C514" s="12"/>
      <c r="D514" s="292"/>
      <c r="E514" s="17"/>
      <c r="F514" s="17"/>
      <c r="G514" s="17"/>
      <c r="H514" s="17"/>
      <c r="I514" s="17"/>
      <c r="J514" s="17"/>
      <c r="K514" s="17"/>
      <c r="L514" s="17"/>
      <c r="M514" s="17"/>
      <c r="N514" s="17"/>
      <c r="O514" s="17"/>
      <c r="P514" s="17"/>
      <c r="Q514" s="21"/>
    </row>
    <row r="515" spans="1:17" x14ac:dyDescent="0.25">
      <c r="A515" s="12"/>
      <c r="B515" s="12"/>
      <c r="C515" s="12"/>
      <c r="D515" s="292"/>
      <c r="E515" s="17"/>
      <c r="F515" s="17"/>
      <c r="G515" s="17"/>
      <c r="H515" s="17"/>
      <c r="I515" s="17"/>
      <c r="J515" s="17"/>
      <c r="K515" s="17"/>
      <c r="L515" s="17"/>
      <c r="M515" s="17"/>
      <c r="N515" s="17"/>
      <c r="O515" s="17"/>
      <c r="P515" s="17"/>
      <c r="Q515" s="21"/>
    </row>
    <row r="516" spans="1:17" x14ac:dyDescent="0.25">
      <c r="A516" s="12"/>
      <c r="B516" s="12"/>
      <c r="C516" s="12"/>
      <c r="D516" s="292"/>
      <c r="E516" s="17"/>
      <c r="F516" s="17"/>
      <c r="G516" s="17"/>
      <c r="H516" s="17"/>
      <c r="I516" s="17"/>
      <c r="J516" s="17"/>
      <c r="K516" s="17"/>
      <c r="L516" s="17"/>
      <c r="M516" s="17"/>
      <c r="N516" s="17"/>
      <c r="O516" s="17"/>
      <c r="P516" s="17"/>
      <c r="Q516" s="21"/>
    </row>
    <row r="517" spans="1:17" x14ac:dyDescent="0.25">
      <c r="A517" s="12"/>
      <c r="B517" s="12"/>
      <c r="C517" s="12"/>
      <c r="D517" s="292"/>
      <c r="E517" s="17"/>
      <c r="F517" s="17"/>
      <c r="G517" s="17"/>
      <c r="H517" s="17"/>
      <c r="I517" s="17"/>
      <c r="J517" s="17"/>
      <c r="K517" s="17"/>
      <c r="L517" s="17"/>
      <c r="M517" s="17"/>
      <c r="N517" s="17"/>
      <c r="O517" s="17"/>
      <c r="P517" s="17"/>
      <c r="Q517" s="21"/>
    </row>
    <row r="518" spans="1:17" x14ac:dyDescent="0.25">
      <c r="A518" s="12"/>
      <c r="B518" s="12"/>
      <c r="C518" s="12"/>
      <c r="D518" s="292"/>
      <c r="E518" s="17"/>
      <c r="F518" s="17"/>
      <c r="G518" s="17"/>
      <c r="H518" s="17"/>
      <c r="I518" s="17"/>
      <c r="J518" s="17"/>
      <c r="K518" s="17"/>
      <c r="L518" s="17"/>
      <c r="M518" s="17"/>
      <c r="N518" s="17"/>
      <c r="O518" s="17"/>
      <c r="P518" s="17"/>
      <c r="Q518" s="21"/>
    </row>
    <row r="519" spans="1:17" x14ac:dyDescent="0.25">
      <c r="A519" s="12"/>
      <c r="B519" s="12"/>
      <c r="C519" s="12"/>
      <c r="D519" s="292"/>
      <c r="E519" s="17"/>
      <c r="F519" s="17"/>
      <c r="G519" s="17"/>
      <c r="H519" s="17"/>
      <c r="I519" s="17"/>
      <c r="J519" s="17"/>
      <c r="K519" s="17"/>
      <c r="L519" s="17"/>
      <c r="M519" s="17"/>
      <c r="N519" s="17"/>
      <c r="O519" s="17"/>
      <c r="P519" s="17"/>
      <c r="Q519" s="21"/>
    </row>
    <row r="520" spans="1:17" x14ac:dyDescent="0.25">
      <c r="A520" s="12"/>
      <c r="B520" s="12"/>
      <c r="C520" s="12"/>
      <c r="D520" s="292"/>
      <c r="E520" s="17"/>
      <c r="F520" s="17"/>
      <c r="G520" s="17"/>
      <c r="H520" s="17"/>
      <c r="I520" s="17"/>
      <c r="J520" s="17"/>
      <c r="K520" s="17"/>
      <c r="L520" s="17"/>
      <c r="M520" s="17"/>
      <c r="N520" s="17"/>
      <c r="O520" s="17"/>
      <c r="P520" s="17"/>
      <c r="Q520" s="21"/>
    </row>
    <row r="521" spans="1:17" x14ac:dyDescent="0.25">
      <c r="A521" s="12"/>
      <c r="B521" s="12"/>
      <c r="C521" s="12"/>
      <c r="D521" s="292"/>
      <c r="E521" s="17"/>
      <c r="F521" s="17"/>
      <c r="G521" s="17"/>
      <c r="H521" s="17"/>
      <c r="I521" s="17"/>
      <c r="J521" s="17"/>
      <c r="K521" s="17"/>
      <c r="L521" s="17"/>
      <c r="M521" s="17"/>
      <c r="N521" s="17"/>
      <c r="O521" s="17"/>
      <c r="P521" s="17"/>
      <c r="Q521" s="21"/>
    </row>
    <row r="522" spans="1:17" x14ac:dyDescent="0.25">
      <c r="A522" s="12"/>
      <c r="B522" s="12"/>
      <c r="C522" s="12"/>
      <c r="D522" s="292"/>
      <c r="E522" s="17"/>
      <c r="F522" s="17"/>
      <c r="G522" s="17"/>
      <c r="H522" s="17"/>
      <c r="I522" s="17"/>
      <c r="J522" s="17"/>
      <c r="K522" s="17"/>
      <c r="L522" s="17"/>
      <c r="M522" s="17"/>
      <c r="N522" s="17"/>
      <c r="O522" s="17"/>
      <c r="P522" s="17"/>
      <c r="Q522" s="21"/>
    </row>
    <row r="523" spans="1:17" x14ac:dyDescent="0.25">
      <c r="A523" s="5"/>
      <c r="B523" s="5"/>
      <c r="C523" s="5"/>
      <c r="E523" s="14"/>
      <c r="F523" s="14"/>
      <c r="G523" s="14"/>
      <c r="H523" s="14"/>
      <c r="I523" s="14"/>
      <c r="J523" s="14"/>
      <c r="K523" s="14"/>
      <c r="L523" s="14"/>
      <c r="M523" s="14"/>
      <c r="N523" s="14"/>
      <c r="O523" s="14"/>
      <c r="P523" s="14"/>
      <c r="Q523" s="21"/>
    </row>
    <row r="524" spans="1:17" x14ac:dyDescent="0.25">
      <c r="A524" s="22"/>
      <c r="B524" s="22"/>
      <c r="C524" s="22"/>
      <c r="D524" s="301"/>
      <c r="E524" s="17"/>
      <c r="F524" s="17"/>
      <c r="G524" s="17"/>
      <c r="H524" s="17"/>
      <c r="I524" s="17"/>
      <c r="J524" s="17"/>
      <c r="K524" s="17"/>
      <c r="L524" s="17"/>
      <c r="M524" s="17"/>
      <c r="N524" s="17"/>
      <c r="O524" s="17"/>
      <c r="P524" s="17"/>
      <c r="Q524" s="21"/>
    </row>
    <row r="525" spans="1:17" x14ac:dyDescent="0.25">
      <c r="A525" s="12"/>
      <c r="B525" s="12"/>
      <c r="C525" s="14"/>
      <c r="D525" s="292"/>
      <c r="E525" s="17"/>
      <c r="F525" s="17"/>
      <c r="G525" s="17"/>
      <c r="H525" s="17"/>
      <c r="I525" s="17"/>
      <c r="J525" s="17"/>
      <c r="K525" s="17"/>
      <c r="L525" s="17"/>
      <c r="M525" s="17"/>
      <c r="N525" s="17"/>
      <c r="O525" s="17"/>
      <c r="P525" s="17"/>
      <c r="Q525" s="21"/>
    </row>
    <row r="526" spans="1:17" x14ac:dyDescent="0.25">
      <c r="A526" s="12"/>
      <c r="B526" s="12"/>
      <c r="C526" s="14"/>
      <c r="D526" s="292"/>
      <c r="E526" s="17"/>
      <c r="F526" s="17"/>
      <c r="G526" s="17"/>
      <c r="H526" s="17"/>
      <c r="I526" s="17"/>
      <c r="J526" s="17"/>
      <c r="K526" s="17"/>
      <c r="L526" s="17"/>
      <c r="M526" s="17"/>
      <c r="N526" s="17"/>
      <c r="O526" s="17"/>
      <c r="P526" s="17"/>
      <c r="Q526" s="21"/>
    </row>
    <row r="527" spans="1:17" x14ac:dyDescent="0.25">
      <c r="A527" s="12"/>
      <c r="B527" s="12"/>
      <c r="C527" s="14"/>
      <c r="D527" s="292"/>
      <c r="E527" s="17"/>
      <c r="F527" s="17"/>
      <c r="G527" s="17"/>
      <c r="H527" s="17"/>
      <c r="I527" s="17"/>
      <c r="J527" s="17"/>
      <c r="K527" s="17"/>
      <c r="L527" s="17"/>
      <c r="M527" s="17"/>
      <c r="N527" s="17"/>
      <c r="O527" s="17"/>
      <c r="P527" s="17"/>
      <c r="Q527" s="21"/>
    </row>
    <row r="528" spans="1:17" x14ac:dyDescent="0.25">
      <c r="A528" s="12"/>
      <c r="B528" s="12"/>
      <c r="C528" s="14"/>
      <c r="D528" s="292"/>
      <c r="E528" s="17"/>
      <c r="F528" s="17"/>
      <c r="G528" s="17"/>
      <c r="H528" s="17"/>
      <c r="I528" s="17"/>
      <c r="J528" s="17"/>
      <c r="K528" s="17"/>
      <c r="L528" s="17"/>
      <c r="M528" s="17"/>
      <c r="N528" s="17"/>
      <c r="O528" s="17"/>
      <c r="P528" s="17"/>
      <c r="Q528" s="21"/>
    </row>
    <row r="529" spans="1:17" x14ac:dyDescent="0.25">
      <c r="A529" s="12"/>
      <c r="B529" s="12"/>
      <c r="C529" s="14"/>
      <c r="D529" s="292"/>
      <c r="E529" s="17"/>
      <c r="F529" s="17"/>
      <c r="G529" s="17"/>
      <c r="H529" s="17"/>
      <c r="I529" s="17"/>
      <c r="J529" s="17"/>
      <c r="K529" s="17"/>
      <c r="L529" s="17"/>
      <c r="M529" s="17"/>
      <c r="N529" s="17"/>
      <c r="O529" s="17"/>
      <c r="P529" s="17"/>
      <c r="Q529" s="21"/>
    </row>
    <row r="530" spans="1:17" x14ac:dyDescent="0.25">
      <c r="A530" s="12"/>
      <c r="B530" s="12"/>
      <c r="C530" s="14"/>
      <c r="D530" s="292"/>
      <c r="E530" s="17"/>
      <c r="F530" s="17"/>
      <c r="G530" s="17"/>
      <c r="H530" s="17"/>
      <c r="I530" s="17"/>
      <c r="J530" s="17"/>
      <c r="K530" s="17"/>
      <c r="L530" s="17"/>
      <c r="M530" s="17"/>
      <c r="N530" s="17"/>
      <c r="O530" s="17"/>
      <c r="P530" s="17"/>
      <c r="Q530" s="21"/>
    </row>
    <row r="531" spans="1:17" x14ac:dyDescent="0.25">
      <c r="A531" s="12"/>
      <c r="B531" s="12"/>
      <c r="C531" s="14"/>
      <c r="D531" s="292"/>
      <c r="E531" s="17"/>
      <c r="F531" s="17"/>
      <c r="G531" s="17"/>
      <c r="H531" s="17"/>
      <c r="I531" s="17"/>
      <c r="J531" s="17"/>
      <c r="K531" s="17"/>
      <c r="L531" s="17"/>
      <c r="M531" s="17"/>
      <c r="N531" s="17"/>
      <c r="O531" s="17"/>
      <c r="P531" s="17"/>
      <c r="Q531" s="21"/>
    </row>
    <row r="532" spans="1:17" x14ac:dyDescent="0.25">
      <c r="A532" s="12"/>
      <c r="B532" s="12"/>
      <c r="C532" s="14"/>
      <c r="D532" s="292"/>
      <c r="E532" s="17"/>
      <c r="F532" s="17"/>
      <c r="G532" s="17"/>
      <c r="H532" s="17"/>
      <c r="I532" s="17"/>
      <c r="J532" s="17"/>
      <c r="K532" s="17"/>
      <c r="L532" s="17"/>
      <c r="M532" s="17"/>
      <c r="N532" s="17"/>
      <c r="O532" s="17"/>
      <c r="P532" s="17"/>
      <c r="Q532" s="21"/>
    </row>
    <row r="533" spans="1:17" x14ac:dyDescent="0.25">
      <c r="A533" s="12"/>
      <c r="B533" s="12"/>
      <c r="C533" s="14"/>
      <c r="D533" s="292"/>
      <c r="E533" s="17"/>
      <c r="F533" s="17"/>
      <c r="G533" s="17"/>
      <c r="H533" s="17"/>
      <c r="I533" s="17"/>
      <c r="J533" s="17"/>
      <c r="K533" s="17"/>
      <c r="L533" s="17"/>
      <c r="M533" s="17"/>
      <c r="N533" s="17"/>
      <c r="O533" s="17"/>
      <c r="P533" s="17"/>
      <c r="Q533" s="21"/>
    </row>
    <row r="534" spans="1:17" x14ac:dyDescent="0.25">
      <c r="A534" s="12"/>
      <c r="B534" s="12"/>
      <c r="C534" s="14"/>
      <c r="D534" s="292"/>
      <c r="E534" s="17"/>
      <c r="F534" s="17"/>
      <c r="G534" s="17"/>
      <c r="H534" s="17"/>
      <c r="I534" s="17"/>
      <c r="J534" s="17"/>
      <c r="K534" s="17"/>
      <c r="L534" s="17"/>
      <c r="M534" s="17"/>
      <c r="N534" s="17"/>
      <c r="O534" s="17"/>
      <c r="P534" s="17"/>
      <c r="Q534" s="21"/>
    </row>
    <row r="535" spans="1:17" x14ac:dyDescent="0.25">
      <c r="A535" s="12"/>
      <c r="B535" s="12"/>
      <c r="C535" s="14"/>
      <c r="D535" s="292"/>
      <c r="E535" s="17"/>
      <c r="F535" s="17"/>
      <c r="G535" s="17"/>
      <c r="H535" s="17"/>
      <c r="I535" s="17"/>
      <c r="J535" s="17"/>
      <c r="K535" s="17"/>
      <c r="L535" s="17"/>
      <c r="M535" s="17"/>
      <c r="N535" s="17"/>
      <c r="O535" s="17"/>
      <c r="P535" s="17"/>
      <c r="Q535" s="21"/>
    </row>
    <row r="536" spans="1:17" x14ac:dyDescent="0.25">
      <c r="A536" s="12"/>
      <c r="B536" s="12"/>
      <c r="C536" s="14"/>
      <c r="D536" s="292"/>
      <c r="E536" s="17"/>
      <c r="F536" s="17"/>
      <c r="G536" s="17"/>
      <c r="H536" s="17"/>
      <c r="I536" s="17"/>
      <c r="J536" s="17"/>
      <c r="K536" s="17"/>
      <c r="L536" s="17"/>
      <c r="M536" s="17"/>
      <c r="N536" s="17"/>
      <c r="O536" s="17"/>
      <c r="P536" s="17"/>
      <c r="Q536" s="21"/>
    </row>
    <row r="537" spans="1:17" x14ac:dyDescent="0.25">
      <c r="A537" s="12"/>
      <c r="B537" s="12"/>
      <c r="C537" s="14"/>
      <c r="D537" s="292"/>
      <c r="E537" s="17"/>
      <c r="F537" s="17"/>
      <c r="G537" s="17"/>
      <c r="H537" s="17"/>
      <c r="I537" s="17"/>
      <c r="J537" s="17"/>
      <c r="K537" s="17"/>
      <c r="L537" s="17"/>
      <c r="M537" s="17"/>
      <c r="N537" s="17"/>
      <c r="O537" s="17"/>
      <c r="P537" s="17"/>
      <c r="Q537" s="21"/>
    </row>
    <row r="538" spans="1:17" x14ac:dyDescent="0.25">
      <c r="A538" s="3"/>
      <c r="B538" s="3"/>
      <c r="C538" s="3"/>
      <c r="D538" s="303"/>
      <c r="E538" s="14"/>
      <c r="F538" s="14"/>
      <c r="G538" s="14"/>
      <c r="H538" s="14"/>
      <c r="I538" s="14"/>
      <c r="J538" s="14"/>
      <c r="K538" s="14"/>
      <c r="L538" s="14"/>
      <c r="M538" s="14"/>
      <c r="N538" s="14"/>
      <c r="O538" s="14"/>
      <c r="P538" s="14"/>
      <c r="Q538" s="21"/>
    </row>
    <row r="539" spans="1:17" x14ac:dyDescent="0.25">
      <c r="A539" s="22"/>
      <c r="B539" s="22"/>
      <c r="C539" s="22"/>
      <c r="D539" s="301"/>
      <c r="E539" s="17"/>
      <c r="F539" s="17"/>
      <c r="G539" s="17"/>
      <c r="H539" s="17"/>
      <c r="I539" s="17"/>
      <c r="J539" s="17"/>
      <c r="K539" s="17"/>
      <c r="L539" s="17"/>
      <c r="M539" s="17"/>
      <c r="N539" s="17"/>
      <c r="O539" s="17"/>
      <c r="P539" s="17"/>
      <c r="Q539" s="21"/>
    </row>
    <row r="540" spans="1:17" x14ac:dyDescent="0.25">
      <c r="A540" s="12"/>
      <c r="B540" s="12"/>
      <c r="C540" s="14"/>
      <c r="D540" s="301"/>
      <c r="E540" s="17"/>
      <c r="F540" s="17"/>
      <c r="G540" s="17"/>
      <c r="H540" s="17"/>
      <c r="I540" s="17"/>
      <c r="J540" s="17"/>
      <c r="K540" s="17"/>
      <c r="L540" s="17"/>
      <c r="M540" s="17"/>
      <c r="N540" s="17"/>
      <c r="O540" s="17"/>
      <c r="P540" s="17"/>
      <c r="Q540" s="21"/>
    </row>
    <row r="541" spans="1:17" x14ac:dyDescent="0.25">
      <c r="A541" s="12"/>
      <c r="B541" s="12"/>
      <c r="C541" s="14"/>
      <c r="D541" s="301"/>
      <c r="E541" s="17"/>
      <c r="F541" s="17"/>
      <c r="G541" s="17"/>
      <c r="H541" s="17"/>
      <c r="I541" s="17"/>
      <c r="J541" s="17"/>
      <c r="K541" s="17"/>
      <c r="L541" s="17"/>
      <c r="M541" s="17"/>
      <c r="N541" s="17"/>
      <c r="O541" s="17"/>
      <c r="P541" s="17"/>
      <c r="Q541" s="21"/>
    </row>
    <row r="542" spans="1:17" x14ac:dyDescent="0.25">
      <c r="A542" s="12"/>
      <c r="B542" s="12"/>
      <c r="C542" s="14"/>
      <c r="D542" s="301"/>
      <c r="E542" s="17"/>
      <c r="F542" s="17"/>
      <c r="G542" s="17"/>
      <c r="H542" s="17"/>
      <c r="I542" s="17"/>
      <c r="J542" s="17"/>
      <c r="K542" s="17"/>
      <c r="L542" s="17"/>
      <c r="M542" s="17"/>
      <c r="N542" s="17"/>
      <c r="O542" s="17"/>
      <c r="P542" s="17"/>
      <c r="Q542" s="21"/>
    </row>
    <row r="543" spans="1:17" x14ac:dyDescent="0.25">
      <c r="A543" s="12"/>
      <c r="B543" s="12"/>
      <c r="C543" s="14"/>
      <c r="D543" s="301"/>
      <c r="E543" s="17"/>
      <c r="F543" s="17"/>
      <c r="G543" s="17"/>
      <c r="H543" s="17"/>
      <c r="I543" s="17"/>
      <c r="J543" s="17"/>
      <c r="K543" s="17"/>
      <c r="L543" s="17"/>
      <c r="M543" s="17"/>
      <c r="N543" s="17"/>
      <c r="O543" s="17"/>
      <c r="P543" s="17"/>
      <c r="Q543" s="21"/>
    </row>
    <row r="544" spans="1:17" x14ac:dyDescent="0.25">
      <c r="A544" s="12"/>
      <c r="B544" s="12"/>
      <c r="C544" s="14"/>
      <c r="D544" s="301"/>
      <c r="E544" s="17"/>
      <c r="F544" s="17"/>
      <c r="G544" s="17"/>
      <c r="H544" s="17"/>
      <c r="I544" s="17"/>
      <c r="J544" s="17"/>
      <c r="K544" s="17"/>
      <c r="L544" s="17"/>
      <c r="M544" s="17"/>
      <c r="N544" s="17"/>
      <c r="O544" s="17"/>
      <c r="P544" s="17"/>
      <c r="Q544" s="21"/>
    </row>
    <row r="545" spans="1:17" x14ac:dyDescent="0.25">
      <c r="A545" s="12"/>
      <c r="B545" s="12"/>
      <c r="C545" s="14"/>
      <c r="D545" s="301"/>
      <c r="E545" s="17"/>
      <c r="F545" s="17"/>
      <c r="G545" s="17"/>
      <c r="H545" s="17"/>
      <c r="I545" s="17"/>
      <c r="J545" s="17"/>
      <c r="K545" s="17"/>
      <c r="L545" s="17"/>
      <c r="M545" s="17"/>
      <c r="N545" s="17"/>
      <c r="O545" s="17"/>
      <c r="P545" s="17"/>
      <c r="Q545" s="21"/>
    </row>
    <row r="546" spans="1:17" x14ac:dyDescent="0.25">
      <c r="A546" s="12"/>
      <c r="B546" s="12"/>
      <c r="C546" s="14"/>
      <c r="D546" s="301"/>
      <c r="E546" s="17"/>
      <c r="F546" s="17"/>
      <c r="G546" s="17"/>
      <c r="H546" s="17"/>
      <c r="I546" s="17"/>
      <c r="J546" s="17"/>
      <c r="K546" s="17"/>
      <c r="L546" s="17"/>
      <c r="M546" s="17"/>
      <c r="N546" s="17"/>
      <c r="O546" s="17"/>
      <c r="P546" s="17"/>
      <c r="Q546" s="21"/>
    </row>
    <row r="547" spans="1:17" x14ac:dyDescent="0.25">
      <c r="A547" s="12"/>
      <c r="B547" s="12"/>
      <c r="C547" s="14"/>
      <c r="D547" s="301"/>
      <c r="E547" s="17"/>
      <c r="F547" s="17"/>
      <c r="G547" s="17"/>
      <c r="H547" s="17"/>
      <c r="I547" s="17"/>
      <c r="J547" s="17"/>
      <c r="K547" s="17"/>
      <c r="L547" s="17"/>
      <c r="M547" s="17"/>
      <c r="N547" s="17"/>
      <c r="O547" s="17"/>
      <c r="P547" s="17"/>
      <c r="Q547" s="21"/>
    </row>
    <row r="548" spans="1:17" x14ac:dyDescent="0.25">
      <c r="A548" s="12"/>
      <c r="B548" s="12"/>
      <c r="C548" s="14"/>
      <c r="D548" s="301"/>
      <c r="E548" s="17"/>
      <c r="F548" s="17"/>
      <c r="G548" s="17"/>
      <c r="H548" s="17"/>
      <c r="I548" s="17"/>
      <c r="J548" s="17"/>
      <c r="K548" s="17"/>
      <c r="L548" s="17"/>
      <c r="M548" s="17"/>
      <c r="N548" s="17"/>
      <c r="O548" s="17"/>
      <c r="P548" s="17"/>
      <c r="Q548" s="21"/>
    </row>
    <row r="549" spans="1:17" x14ac:dyDescent="0.25">
      <c r="A549" s="12"/>
      <c r="B549" s="12"/>
      <c r="C549" s="14"/>
      <c r="D549" s="301"/>
      <c r="E549" s="17"/>
      <c r="F549" s="17"/>
      <c r="G549" s="17"/>
      <c r="H549" s="17"/>
      <c r="I549" s="17"/>
      <c r="J549" s="17"/>
      <c r="K549" s="17"/>
      <c r="L549" s="17"/>
      <c r="M549" s="17"/>
      <c r="N549" s="17"/>
      <c r="O549" s="17"/>
      <c r="P549" s="17"/>
      <c r="Q549" s="21"/>
    </row>
    <row r="550" spans="1:17" x14ac:dyDescent="0.25">
      <c r="A550" s="12"/>
      <c r="B550" s="12"/>
      <c r="C550" s="14"/>
      <c r="D550" s="301"/>
      <c r="E550" s="17"/>
      <c r="F550" s="17"/>
      <c r="G550" s="17"/>
      <c r="H550" s="17"/>
      <c r="I550" s="17"/>
      <c r="J550" s="17"/>
      <c r="K550" s="17"/>
      <c r="L550" s="17"/>
      <c r="M550" s="17"/>
      <c r="N550" s="17"/>
      <c r="O550" s="17"/>
      <c r="P550" s="17"/>
      <c r="Q550" s="21"/>
    </row>
    <row r="551" spans="1:17" x14ac:dyDescent="0.25">
      <c r="A551" s="12"/>
      <c r="B551" s="12"/>
      <c r="C551" s="14"/>
      <c r="D551" s="301"/>
      <c r="E551" s="17"/>
      <c r="F551" s="17"/>
      <c r="G551" s="17"/>
      <c r="H551" s="17"/>
      <c r="I551" s="17"/>
      <c r="J551" s="17"/>
      <c r="K551" s="17"/>
      <c r="L551" s="17"/>
      <c r="M551" s="17"/>
      <c r="N551" s="17"/>
      <c r="O551" s="17"/>
      <c r="P551" s="17"/>
      <c r="Q551" s="21"/>
    </row>
    <row r="552" spans="1:17" x14ac:dyDescent="0.25">
      <c r="A552" s="12"/>
      <c r="B552" s="12"/>
      <c r="C552" s="14"/>
      <c r="D552" s="301"/>
      <c r="E552" s="17"/>
      <c r="F552" s="17"/>
      <c r="G552" s="17"/>
      <c r="H552" s="17"/>
      <c r="I552" s="17"/>
      <c r="J552" s="17"/>
      <c r="K552" s="17"/>
      <c r="L552" s="17"/>
      <c r="M552" s="17"/>
      <c r="N552" s="17"/>
      <c r="O552" s="17"/>
      <c r="P552" s="17"/>
      <c r="Q552" s="21"/>
    </row>
    <row r="553" spans="1:17" x14ac:dyDescent="0.25">
      <c r="A553" s="22"/>
      <c r="B553" s="22"/>
      <c r="C553" s="22"/>
      <c r="D553" s="301"/>
      <c r="E553" s="14"/>
      <c r="F553" s="14"/>
      <c r="G553" s="14"/>
      <c r="H553" s="14"/>
      <c r="I553" s="14"/>
      <c r="J553" s="14"/>
      <c r="K553" s="14"/>
      <c r="L553" s="14"/>
      <c r="M553" s="14"/>
      <c r="N553" s="14"/>
      <c r="O553" s="14"/>
      <c r="P553" s="14"/>
      <c r="Q553" s="21"/>
    </row>
    <row r="554" spans="1:17" x14ac:dyDescent="0.25">
      <c r="A554" s="22"/>
      <c r="B554" s="22"/>
      <c r="C554" s="22"/>
      <c r="D554" s="301"/>
      <c r="E554" s="17"/>
      <c r="F554" s="17"/>
      <c r="G554" s="17"/>
      <c r="H554" s="17"/>
      <c r="I554" s="17"/>
      <c r="J554" s="17"/>
      <c r="K554" s="17"/>
      <c r="L554" s="17"/>
      <c r="M554" s="17"/>
      <c r="N554" s="17"/>
      <c r="O554" s="17"/>
      <c r="P554" s="17"/>
      <c r="Q554" s="21"/>
    </row>
    <row r="555" spans="1:17" x14ac:dyDescent="0.25">
      <c r="A555" s="12"/>
      <c r="B555" s="12"/>
      <c r="C555" s="14"/>
      <c r="D555" s="301"/>
      <c r="E555" s="17"/>
      <c r="F555" s="17"/>
      <c r="G555" s="17"/>
      <c r="H555" s="17"/>
      <c r="I555" s="17"/>
      <c r="J555" s="17"/>
      <c r="K555" s="17"/>
      <c r="L555" s="17"/>
      <c r="M555" s="17"/>
      <c r="N555" s="17"/>
      <c r="O555" s="17"/>
      <c r="P555" s="17"/>
      <c r="Q555" s="21"/>
    </row>
    <row r="556" spans="1:17" x14ac:dyDescent="0.25">
      <c r="A556" s="12"/>
      <c r="B556" s="12"/>
      <c r="C556" s="14"/>
      <c r="D556" s="301"/>
      <c r="E556" s="17"/>
      <c r="F556" s="17"/>
      <c r="G556" s="17"/>
      <c r="H556" s="17"/>
      <c r="I556" s="17"/>
      <c r="J556" s="17"/>
      <c r="K556" s="17"/>
      <c r="L556" s="17"/>
      <c r="M556" s="17"/>
      <c r="N556" s="17"/>
      <c r="O556" s="17"/>
      <c r="P556" s="17"/>
      <c r="Q556" s="21"/>
    </row>
    <row r="557" spans="1:17" x14ac:dyDescent="0.25">
      <c r="A557" s="12"/>
      <c r="B557" s="12"/>
      <c r="C557" s="14"/>
      <c r="D557" s="301"/>
      <c r="E557" s="17"/>
      <c r="F557" s="17"/>
      <c r="G557" s="17"/>
      <c r="H557" s="17"/>
      <c r="I557" s="17"/>
      <c r="J557" s="17"/>
      <c r="K557" s="17"/>
      <c r="L557" s="17"/>
      <c r="M557" s="17"/>
      <c r="N557" s="17"/>
      <c r="O557" s="17"/>
      <c r="P557" s="17"/>
      <c r="Q557" s="21"/>
    </row>
    <row r="558" spans="1:17" x14ac:dyDescent="0.25">
      <c r="A558" s="12"/>
      <c r="B558" s="12"/>
      <c r="C558" s="14"/>
      <c r="D558" s="301"/>
      <c r="E558" s="17"/>
      <c r="F558" s="17"/>
      <c r="G558" s="17"/>
      <c r="H558" s="17"/>
      <c r="I558" s="17"/>
      <c r="J558" s="17"/>
      <c r="K558" s="17"/>
      <c r="L558" s="17"/>
      <c r="M558" s="17"/>
      <c r="N558" s="17"/>
      <c r="O558" s="17"/>
      <c r="P558" s="17"/>
      <c r="Q558" s="21"/>
    </row>
    <row r="559" spans="1:17" x14ac:dyDescent="0.25">
      <c r="A559" s="12"/>
      <c r="B559" s="12"/>
      <c r="C559" s="14"/>
      <c r="D559" s="301"/>
      <c r="E559" s="17"/>
      <c r="F559" s="17"/>
      <c r="G559" s="17"/>
      <c r="H559" s="17"/>
      <c r="I559" s="17"/>
      <c r="J559" s="17"/>
      <c r="K559" s="17"/>
      <c r="L559" s="17"/>
      <c r="M559" s="17"/>
      <c r="N559" s="17"/>
      <c r="O559" s="17"/>
      <c r="P559" s="17"/>
      <c r="Q559" s="21"/>
    </row>
    <row r="560" spans="1:17" x14ac:dyDescent="0.25">
      <c r="A560" s="12"/>
      <c r="B560" s="12"/>
      <c r="C560" s="14"/>
      <c r="D560" s="301"/>
      <c r="E560" s="17"/>
      <c r="F560" s="17"/>
      <c r="G560" s="17"/>
      <c r="H560" s="17"/>
      <c r="I560" s="17"/>
      <c r="J560" s="17"/>
      <c r="K560" s="17"/>
      <c r="L560" s="17"/>
      <c r="M560" s="17"/>
      <c r="N560" s="17"/>
      <c r="O560" s="17"/>
      <c r="P560" s="17"/>
      <c r="Q560" s="21"/>
    </row>
    <row r="561" spans="1:17" x14ac:dyDescent="0.25">
      <c r="A561" s="12"/>
      <c r="B561" s="12"/>
      <c r="C561" s="14"/>
      <c r="D561" s="301"/>
      <c r="E561" s="17"/>
      <c r="F561" s="17"/>
      <c r="G561" s="17"/>
      <c r="H561" s="17"/>
      <c r="I561" s="17"/>
      <c r="J561" s="17"/>
      <c r="K561" s="17"/>
      <c r="L561" s="17"/>
      <c r="M561" s="17"/>
      <c r="N561" s="17"/>
      <c r="O561" s="17"/>
      <c r="P561" s="17"/>
      <c r="Q561" s="21"/>
    </row>
    <row r="562" spans="1:17" x14ac:dyDescent="0.25">
      <c r="A562" s="12"/>
      <c r="B562" s="12"/>
      <c r="C562" s="14"/>
      <c r="D562" s="301"/>
      <c r="E562" s="17"/>
      <c r="F562" s="17"/>
      <c r="G562" s="17"/>
      <c r="H562" s="17"/>
      <c r="I562" s="17"/>
      <c r="J562" s="17"/>
      <c r="K562" s="17"/>
      <c r="L562" s="17"/>
      <c r="M562" s="17"/>
      <c r="N562" s="17"/>
      <c r="O562" s="17"/>
      <c r="P562" s="17"/>
      <c r="Q562" s="21"/>
    </row>
    <row r="563" spans="1:17" x14ac:dyDescent="0.25">
      <c r="A563" s="12"/>
      <c r="B563" s="12"/>
      <c r="C563" s="14"/>
      <c r="D563" s="301"/>
      <c r="E563" s="17"/>
      <c r="F563" s="17"/>
      <c r="G563" s="17"/>
      <c r="H563" s="17"/>
      <c r="I563" s="17"/>
      <c r="J563" s="17"/>
      <c r="K563" s="17"/>
      <c r="L563" s="17"/>
      <c r="M563" s="17"/>
      <c r="N563" s="17"/>
      <c r="O563" s="17"/>
      <c r="P563" s="17"/>
      <c r="Q563" s="21"/>
    </row>
    <row r="564" spans="1:17" x14ac:dyDescent="0.25">
      <c r="A564" s="12"/>
      <c r="B564" s="12"/>
      <c r="C564" s="14"/>
      <c r="D564" s="301"/>
      <c r="E564" s="17"/>
      <c r="F564" s="17"/>
      <c r="G564" s="17"/>
      <c r="H564" s="17"/>
      <c r="I564" s="17"/>
      <c r="J564" s="17"/>
      <c r="K564" s="17"/>
      <c r="L564" s="17"/>
      <c r="M564" s="17"/>
      <c r="N564" s="17"/>
      <c r="O564" s="17"/>
      <c r="P564" s="17"/>
      <c r="Q564" s="21"/>
    </row>
    <row r="565" spans="1:17" x14ac:dyDescent="0.25">
      <c r="A565" s="12"/>
      <c r="B565" s="12"/>
      <c r="C565" s="14"/>
      <c r="D565" s="301"/>
      <c r="E565" s="17"/>
      <c r="F565" s="17"/>
      <c r="G565" s="17"/>
      <c r="H565" s="17"/>
      <c r="I565" s="17"/>
      <c r="J565" s="17"/>
      <c r="K565" s="17"/>
      <c r="L565" s="17"/>
      <c r="M565" s="17"/>
      <c r="N565" s="17"/>
      <c r="O565" s="17"/>
      <c r="P565" s="17"/>
      <c r="Q565" s="21"/>
    </row>
    <row r="566" spans="1:17" x14ac:dyDescent="0.25">
      <c r="A566" s="12"/>
      <c r="B566" s="12"/>
      <c r="C566" s="14"/>
      <c r="D566" s="301"/>
      <c r="E566" s="17"/>
      <c r="F566" s="17"/>
      <c r="G566" s="17"/>
      <c r="H566" s="17"/>
      <c r="I566" s="17"/>
      <c r="J566" s="17"/>
      <c r="K566" s="17"/>
      <c r="L566" s="17"/>
      <c r="M566" s="17"/>
      <c r="N566" s="17"/>
      <c r="O566" s="17"/>
      <c r="P566" s="17"/>
      <c r="Q566" s="21"/>
    </row>
    <row r="567" spans="1:17" x14ac:dyDescent="0.25">
      <c r="A567" s="12"/>
      <c r="B567" s="12"/>
      <c r="C567" s="14"/>
      <c r="D567" s="301"/>
      <c r="E567" s="17"/>
      <c r="F567" s="17"/>
      <c r="G567" s="17"/>
      <c r="H567" s="17"/>
      <c r="I567" s="17"/>
      <c r="J567" s="17"/>
      <c r="K567" s="17"/>
      <c r="L567" s="17"/>
      <c r="M567" s="17"/>
      <c r="N567" s="17"/>
      <c r="O567" s="17"/>
      <c r="P567" s="17"/>
      <c r="Q567" s="21"/>
    </row>
    <row r="568" spans="1:17" x14ac:dyDescent="0.25">
      <c r="A568" s="22"/>
      <c r="B568" s="22"/>
      <c r="C568" s="22"/>
      <c r="D568" s="301"/>
      <c r="E568" s="14"/>
      <c r="F568" s="14"/>
      <c r="G568" s="14"/>
      <c r="H568" s="14"/>
      <c r="I568" s="14"/>
      <c r="J568" s="14"/>
      <c r="K568" s="14"/>
      <c r="L568" s="14"/>
      <c r="M568" s="14"/>
      <c r="N568" s="14"/>
      <c r="O568" s="14"/>
      <c r="P568" s="14"/>
      <c r="Q568" s="21"/>
    </row>
    <row r="569" spans="1:17" x14ac:dyDescent="0.25">
      <c r="A569" s="22"/>
      <c r="B569" s="22"/>
      <c r="C569" s="22"/>
      <c r="D569" s="301"/>
      <c r="E569" s="17"/>
      <c r="F569" s="17"/>
      <c r="G569" s="17"/>
      <c r="H569" s="17"/>
      <c r="I569" s="17"/>
      <c r="J569" s="17"/>
      <c r="K569" s="17"/>
      <c r="L569" s="17"/>
      <c r="M569" s="17"/>
      <c r="N569" s="17"/>
      <c r="O569" s="17"/>
      <c r="P569" s="17"/>
      <c r="Q569" s="21"/>
    </row>
    <row r="570" spans="1:17" x14ac:dyDescent="0.25">
      <c r="A570" s="12"/>
      <c r="B570" s="12"/>
      <c r="C570" s="22"/>
      <c r="D570" s="301"/>
      <c r="E570" s="17"/>
      <c r="F570" s="17"/>
      <c r="G570" s="17"/>
      <c r="H570" s="17"/>
      <c r="I570" s="17"/>
      <c r="J570" s="17"/>
      <c r="K570" s="17"/>
      <c r="L570" s="17"/>
      <c r="M570" s="17"/>
      <c r="N570" s="17"/>
      <c r="O570" s="17"/>
      <c r="P570" s="17"/>
      <c r="Q570" s="21"/>
    </row>
    <row r="571" spans="1:17" x14ac:dyDescent="0.25">
      <c r="A571" s="12"/>
      <c r="B571" s="12"/>
      <c r="C571" s="22"/>
      <c r="D571" s="301"/>
      <c r="E571" s="17"/>
      <c r="F571" s="17"/>
      <c r="G571" s="17"/>
      <c r="H571" s="17"/>
      <c r="I571" s="17"/>
      <c r="J571" s="17"/>
      <c r="K571" s="17"/>
      <c r="L571" s="17"/>
      <c r="M571" s="17"/>
      <c r="N571" s="17"/>
      <c r="O571" s="17"/>
      <c r="P571" s="17"/>
      <c r="Q571" s="21"/>
    </row>
    <row r="572" spans="1:17" x14ac:dyDescent="0.25">
      <c r="A572" s="12"/>
      <c r="B572" s="12"/>
      <c r="C572" s="22"/>
      <c r="D572" s="301"/>
      <c r="E572" s="17"/>
      <c r="F572" s="17"/>
      <c r="G572" s="17"/>
      <c r="H572" s="17"/>
      <c r="I572" s="17"/>
      <c r="J572" s="17"/>
      <c r="K572" s="17"/>
      <c r="L572" s="17"/>
      <c r="M572" s="17"/>
      <c r="N572" s="17"/>
      <c r="O572" s="17"/>
      <c r="P572" s="17"/>
      <c r="Q572" s="21"/>
    </row>
    <row r="573" spans="1:17" x14ac:dyDescent="0.25">
      <c r="A573" s="12"/>
      <c r="B573" s="12"/>
      <c r="C573" s="22"/>
      <c r="D573" s="301"/>
      <c r="E573" s="17"/>
      <c r="F573" s="17"/>
      <c r="G573" s="17"/>
      <c r="H573" s="17"/>
      <c r="I573" s="17"/>
      <c r="J573" s="17"/>
      <c r="K573" s="17"/>
      <c r="L573" s="17"/>
      <c r="M573" s="17"/>
      <c r="N573" s="17"/>
      <c r="O573" s="17"/>
      <c r="P573" s="17"/>
      <c r="Q573" s="21"/>
    </row>
    <row r="574" spans="1:17" x14ac:dyDescent="0.25">
      <c r="A574" s="12"/>
      <c r="B574" s="12"/>
      <c r="C574" s="22"/>
      <c r="D574" s="301"/>
      <c r="E574" s="17"/>
      <c r="F574" s="17"/>
      <c r="G574" s="17"/>
      <c r="H574" s="17"/>
      <c r="I574" s="17"/>
      <c r="J574" s="17"/>
      <c r="K574" s="17"/>
      <c r="L574" s="17"/>
      <c r="M574" s="17"/>
      <c r="N574" s="17"/>
      <c r="O574" s="17"/>
      <c r="P574" s="17"/>
      <c r="Q574" s="21"/>
    </row>
    <row r="575" spans="1:17" x14ac:dyDescent="0.25">
      <c r="A575" s="12"/>
      <c r="B575" s="12"/>
      <c r="C575" s="22"/>
      <c r="D575" s="301"/>
      <c r="E575" s="17"/>
      <c r="F575" s="17"/>
      <c r="G575" s="17"/>
      <c r="H575" s="17"/>
      <c r="I575" s="17"/>
      <c r="J575" s="17"/>
      <c r="K575" s="17"/>
      <c r="L575" s="17"/>
      <c r="M575" s="17"/>
      <c r="N575" s="17"/>
      <c r="O575" s="17"/>
      <c r="P575" s="17"/>
      <c r="Q575" s="21"/>
    </row>
    <row r="576" spans="1:17" x14ac:dyDescent="0.25">
      <c r="A576" s="12"/>
      <c r="B576" s="12"/>
      <c r="C576" s="22"/>
      <c r="D576" s="301"/>
      <c r="E576" s="17"/>
      <c r="F576" s="17"/>
      <c r="G576" s="17"/>
      <c r="H576" s="17"/>
      <c r="I576" s="17"/>
      <c r="J576" s="17"/>
      <c r="K576" s="17"/>
      <c r="L576" s="17"/>
      <c r="M576" s="17"/>
      <c r="N576" s="17"/>
      <c r="O576" s="17"/>
      <c r="P576" s="17"/>
      <c r="Q576" s="21"/>
    </row>
    <row r="577" spans="1:17" x14ac:dyDescent="0.25">
      <c r="A577" s="12"/>
      <c r="B577" s="12"/>
      <c r="C577" s="22"/>
      <c r="D577" s="301"/>
      <c r="E577" s="17"/>
      <c r="F577" s="17"/>
      <c r="G577" s="17"/>
      <c r="H577" s="17"/>
      <c r="I577" s="17"/>
      <c r="J577" s="17"/>
      <c r="K577" s="17"/>
      <c r="L577" s="17"/>
      <c r="M577" s="17"/>
      <c r="N577" s="17"/>
      <c r="O577" s="17"/>
      <c r="P577" s="17"/>
      <c r="Q577" s="21"/>
    </row>
    <row r="578" spans="1:17" x14ac:dyDescent="0.25">
      <c r="A578" s="12"/>
      <c r="B578" s="12"/>
      <c r="C578" s="22"/>
      <c r="D578" s="301"/>
      <c r="E578" s="17"/>
      <c r="F578" s="17"/>
      <c r="G578" s="17"/>
      <c r="H578" s="17"/>
      <c r="I578" s="17"/>
      <c r="J578" s="17"/>
      <c r="K578" s="17"/>
      <c r="L578" s="17"/>
      <c r="M578" s="17"/>
      <c r="N578" s="17"/>
      <c r="O578" s="17"/>
      <c r="P578" s="17"/>
      <c r="Q578" s="21"/>
    </row>
    <row r="579" spans="1:17" x14ac:dyDescent="0.25">
      <c r="A579" s="12"/>
      <c r="B579" s="12"/>
      <c r="C579" s="22"/>
      <c r="D579" s="301"/>
      <c r="E579" s="17"/>
      <c r="F579" s="17"/>
      <c r="G579" s="17"/>
      <c r="H579" s="17"/>
      <c r="I579" s="17"/>
      <c r="J579" s="17"/>
      <c r="K579" s="17"/>
      <c r="L579" s="17"/>
      <c r="M579" s="17"/>
      <c r="N579" s="17"/>
      <c r="O579" s="17"/>
      <c r="P579" s="17"/>
      <c r="Q579" s="21"/>
    </row>
    <row r="580" spans="1:17" x14ac:dyDescent="0.25">
      <c r="A580" s="12"/>
      <c r="B580" s="12"/>
      <c r="C580" s="22"/>
      <c r="D580" s="301"/>
      <c r="E580" s="17"/>
      <c r="F580" s="17"/>
      <c r="G580" s="17"/>
      <c r="H580" s="17"/>
      <c r="I580" s="17"/>
      <c r="J580" s="17"/>
      <c r="K580" s="17"/>
      <c r="L580" s="17"/>
      <c r="M580" s="17"/>
      <c r="N580" s="17"/>
      <c r="O580" s="17"/>
      <c r="P580" s="17"/>
      <c r="Q580" s="21"/>
    </row>
    <row r="581" spans="1:17" x14ac:dyDescent="0.25">
      <c r="A581" s="12"/>
      <c r="B581" s="12"/>
      <c r="C581" s="22"/>
      <c r="D581" s="301"/>
      <c r="E581" s="17"/>
      <c r="F581" s="17"/>
      <c r="G581" s="17"/>
      <c r="H581" s="17"/>
      <c r="I581" s="17"/>
      <c r="J581" s="17"/>
      <c r="K581" s="17"/>
      <c r="L581" s="17"/>
      <c r="M581" s="17"/>
      <c r="N581" s="17"/>
      <c r="O581" s="17"/>
      <c r="P581" s="17"/>
      <c r="Q581" s="21"/>
    </row>
    <row r="582" spans="1:17" x14ac:dyDescent="0.25">
      <c r="A582" s="12"/>
      <c r="B582" s="12"/>
      <c r="C582" s="22"/>
      <c r="D582" s="301"/>
      <c r="E582" s="17"/>
      <c r="F582" s="17"/>
      <c r="G582" s="17"/>
      <c r="H582" s="17"/>
      <c r="I582" s="17"/>
      <c r="J582" s="17"/>
      <c r="K582" s="17"/>
      <c r="L582" s="17"/>
      <c r="M582" s="17"/>
      <c r="N582" s="17"/>
      <c r="O582" s="17"/>
      <c r="P582" s="17"/>
      <c r="Q582" s="21"/>
    </row>
    <row r="583" spans="1:17" x14ac:dyDescent="0.25">
      <c r="A583" s="22"/>
      <c r="B583" s="22"/>
      <c r="C583" s="22"/>
      <c r="D583" s="301"/>
      <c r="E583" s="14"/>
      <c r="F583" s="14"/>
      <c r="G583" s="14"/>
      <c r="H583" s="14"/>
      <c r="I583" s="14"/>
      <c r="J583" s="14"/>
      <c r="K583" s="14"/>
      <c r="L583" s="14"/>
      <c r="M583" s="14"/>
      <c r="N583" s="14"/>
      <c r="O583" s="14"/>
      <c r="P583" s="14"/>
      <c r="Q583" s="21"/>
    </row>
    <row r="584" spans="1:17" x14ac:dyDescent="0.25">
      <c r="A584" s="22"/>
      <c r="B584" s="22"/>
      <c r="C584" s="22"/>
      <c r="D584" s="301"/>
      <c r="E584" s="17"/>
      <c r="F584" s="17"/>
      <c r="G584" s="17"/>
      <c r="H584" s="17"/>
      <c r="I584" s="17"/>
      <c r="J584" s="17"/>
      <c r="K584" s="17"/>
      <c r="L584" s="17"/>
      <c r="M584" s="17"/>
      <c r="N584" s="17"/>
      <c r="O584" s="17"/>
      <c r="P584" s="17"/>
      <c r="Q584" s="21"/>
    </row>
    <row r="585" spans="1:17" x14ac:dyDescent="0.25">
      <c r="A585" s="12"/>
      <c r="B585" s="12"/>
      <c r="C585" s="14"/>
      <c r="D585" s="292"/>
      <c r="E585" s="17"/>
      <c r="F585" s="17"/>
      <c r="G585" s="17"/>
      <c r="H585" s="17"/>
      <c r="I585" s="17"/>
      <c r="J585" s="17"/>
      <c r="K585" s="17"/>
      <c r="L585" s="17"/>
      <c r="M585" s="17"/>
      <c r="N585" s="17"/>
      <c r="O585" s="17"/>
      <c r="P585" s="17"/>
      <c r="Q585" s="21"/>
    </row>
    <row r="586" spans="1:17" x14ac:dyDescent="0.25">
      <c r="A586" s="12"/>
      <c r="B586" s="12"/>
      <c r="C586" s="14"/>
      <c r="D586" s="292"/>
      <c r="E586" s="17"/>
      <c r="F586" s="17"/>
      <c r="G586" s="17"/>
      <c r="H586" s="17"/>
      <c r="I586" s="17"/>
      <c r="J586" s="17"/>
      <c r="K586" s="17"/>
      <c r="L586" s="17"/>
      <c r="M586" s="17"/>
      <c r="N586" s="17"/>
      <c r="O586" s="17"/>
      <c r="P586" s="17"/>
      <c r="Q586" s="21"/>
    </row>
    <row r="587" spans="1:17" x14ac:dyDescent="0.25">
      <c r="A587" s="12"/>
      <c r="B587" s="12"/>
      <c r="C587" s="14"/>
      <c r="D587" s="292"/>
      <c r="E587" s="17"/>
      <c r="F587" s="17"/>
      <c r="G587" s="17"/>
      <c r="H587" s="17"/>
      <c r="I587" s="17"/>
      <c r="J587" s="17"/>
      <c r="K587" s="17"/>
      <c r="L587" s="17"/>
      <c r="M587" s="17"/>
      <c r="N587" s="17"/>
      <c r="O587" s="17"/>
      <c r="P587" s="17"/>
      <c r="Q587" s="21"/>
    </row>
    <row r="588" spans="1:17" x14ac:dyDescent="0.25">
      <c r="A588" s="12"/>
      <c r="B588" s="12"/>
      <c r="C588" s="14"/>
      <c r="D588" s="292"/>
      <c r="E588" s="17"/>
      <c r="F588" s="17"/>
      <c r="G588" s="17"/>
      <c r="H588" s="17"/>
      <c r="I588" s="17"/>
      <c r="J588" s="17"/>
      <c r="K588" s="17"/>
      <c r="L588" s="17"/>
      <c r="M588" s="17"/>
      <c r="N588" s="17"/>
      <c r="O588" s="17"/>
      <c r="P588" s="17"/>
      <c r="Q588" s="21"/>
    </row>
    <row r="589" spans="1:17" x14ac:dyDescent="0.25">
      <c r="A589" s="12"/>
      <c r="B589" s="12"/>
      <c r="C589" s="14"/>
      <c r="D589" s="292"/>
      <c r="E589" s="17"/>
      <c r="F589" s="17"/>
      <c r="G589" s="17"/>
      <c r="H589" s="17"/>
      <c r="I589" s="17"/>
      <c r="J589" s="17"/>
      <c r="K589" s="17"/>
      <c r="L589" s="17"/>
      <c r="M589" s="17"/>
      <c r="N589" s="17"/>
      <c r="O589" s="17"/>
      <c r="P589" s="17"/>
      <c r="Q589" s="21"/>
    </row>
    <row r="590" spans="1:17" x14ac:dyDescent="0.25">
      <c r="A590" s="12"/>
      <c r="B590" s="12"/>
      <c r="C590" s="14"/>
      <c r="D590" s="292"/>
      <c r="E590" s="17"/>
      <c r="F590" s="17"/>
      <c r="G590" s="17"/>
      <c r="H590" s="17"/>
      <c r="I590" s="17"/>
      <c r="J590" s="17"/>
      <c r="K590" s="17"/>
      <c r="L590" s="17"/>
      <c r="M590" s="17"/>
      <c r="N590" s="17"/>
      <c r="O590" s="17"/>
      <c r="P590" s="17"/>
      <c r="Q590" s="21"/>
    </row>
    <row r="591" spans="1:17" x14ac:dyDescent="0.25">
      <c r="A591" s="12"/>
      <c r="B591" s="12"/>
      <c r="C591" s="14"/>
      <c r="D591" s="292"/>
      <c r="E591" s="17"/>
      <c r="F591" s="17"/>
      <c r="G591" s="17"/>
      <c r="H591" s="17"/>
      <c r="I591" s="17"/>
      <c r="J591" s="17"/>
      <c r="K591" s="17"/>
      <c r="L591" s="17"/>
      <c r="M591" s="17"/>
      <c r="N591" s="17"/>
      <c r="O591" s="17"/>
      <c r="P591" s="17"/>
      <c r="Q591" s="21"/>
    </row>
    <row r="592" spans="1:17" x14ac:dyDescent="0.25">
      <c r="A592" s="12"/>
      <c r="B592" s="12"/>
      <c r="C592" s="14"/>
      <c r="D592" s="292"/>
      <c r="E592" s="17"/>
      <c r="F592" s="17"/>
      <c r="G592" s="17"/>
      <c r="H592" s="17"/>
      <c r="I592" s="17"/>
      <c r="J592" s="17"/>
      <c r="K592" s="17"/>
      <c r="L592" s="17"/>
      <c r="M592" s="17"/>
      <c r="N592" s="17"/>
      <c r="O592" s="17"/>
      <c r="P592" s="17"/>
      <c r="Q592" s="21"/>
    </row>
    <row r="593" spans="1:17" x14ac:dyDescent="0.25">
      <c r="A593" s="12"/>
      <c r="B593" s="12"/>
      <c r="C593" s="14"/>
      <c r="D593" s="292"/>
      <c r="E593" s="17"/>
      <c r="F593" s="17"/>
      <c r="G593" s="17"/>
      <c r="H593" s="17"/>
      <c r="I593" s="17"/>
      <c r="J593" s="17"/>
      <c r="K593" s="17"/>
      <c r="L593" s="17"/>
      <c r="M593" s="17"/>
      <c r="N593" s="17"/>
      <c r="O593" s="17"/>
      <c r="P593" s="17"/>
      <c r="Q593" s="21"/>
    </row>
    <row r="594" spans="1:17" x14ac:dyDescent="0.25">
      <c r="A594" s="12"/>
      <c r="B594" s="12"/>
      <c r="C594" s="14"/>
      <c r="D594" s="292"/>
      <c r="E594" s="17"/>
      <c r="F594" s="17"/>
      <c r="G594" s="17"/>
      <c r="H594" s="17"/>
      <c r="I594" s="17"/>
      <c r="J594" s="17"/>
      <c r="K594" s="17"/>
      <c r="L594" s="17"/>
      <c r="M594" s="17"/>
      <c r="N594" s="17"/>
      <c r="O594" s="17"/>
      <c r="P594" s="17"/>
      <c r="Q594" s="21"/>
    </row>
    <row r="595" spans="1:17" x14ac:dyDescent="0.25">
      <c r="A595" s="12"/>
      <c r="B595" s="12"/>
      <c r="C595" s="14"/>
      <c r="D595" s="292"/>
      <c r="E595" s="17"/>
      <c r="F595" s="17"/>
      <c r="G595" s="17"/>
      <c r="H595" s="17"/>
      <c r="I595" s="17"/>
      <c r="J595" s="17"/>
      <c r="K595" s="17"/>
      <c r="L595" s="17"/>
      <c r="M595" s="17"/>
      <c r="N595" s="17"/>
      <c r="O595" s="17"/>
      <c r="P595" s="17"/>
      <c r="Q595" s="21"/>
    </row>
    <row r="596" spans="1:17" x14ac:dyDescent="0.25">
      <c r="A596" s="12"/>
      <c r="B596" s="12"/>
      <c r="C596" s="14"/>
      <c r="D596" s="292"/>
      <c r="E596" s="17"/>
      <c r="F596" s="17"/>
      <c r="G596" s="17"/>
      <c r="H596" s="17"/>
      <c r="I596" s="17"/>
      <c r="J596" s="17"/>
      <c r="K596" s="17"/>
      <c r="L596" s="17"/>
      <c r="M596" s="17"/>
      <c r="N596" s="17"/>
      <c r="O596" s="17"/>
      <c r="P596" s="17"/>
      <c r="Q596" s="21"/>
    </row>
    <row r="597" spans="1:17" x14ac:dyDescent="0.25">
      <c r="A597" s="12"/>
      <c r="B597" s="12"/>
      <c r="C597" s="14"/>
      <c r="D597" s="292"/>
      <c r="E597" s="17"/>
      <c r="F597" s="17"/>
      <c r="G597" s="17"/>
      <c r="H597" s="17"/>
      <c r="I597" s="17"/>
      <c r="J597" s="17"/>
      <c r="K597" s="17"/>
      <c r="L597" s="17"/>
      <c r="M597" s="17"/>
      <c r="N597" s="17"/>
      <c r="O597" s="17"/>
      <c r="P597" s="17"/>
      <c r="Q597" s="21"/>
    </row>
    <row r="598" spans="1:17" x14ac:dyDescent="0.25">
      <c r="A598" s="5"/>
      <c r="B598" s="5"/>
      <c r="C598" s="5"/>
      <c r="E598" s="14"/>
      <c r="F598" s="14"/>
      <c r="G598" s="14"/>
      <c r="H598" s="14"/>
      <c r="I598" s="14"/>
      <c r="J598" s="14"/>
      <c r="K598" s="14"/>
      <c r="L598" s="14"/>
      <c r="M598" s="14"/>
      <c r="N598" s="14"/>
      <c r="O598" s="14"/>
      <c r="P598" s="14"/>
      <c r="Q598" s="21"/>
    </row>
    <row r="599" spans="1:17" x14ac:dyDescent="0.25">
      <c r="A599" s="22"/>
      <c r="B599" s="22"/>
      <c r="C599" s="22"/>
      <c r="D599" s="301"/>
      <c r="E599" s="17"/>
      <c r="F599" s="17"/>
      <c r="G599" s="17"/>
      <c r="H599" s="17"/>
      <c r="I599" s="17"/>
      <c r="J599" s="17"/>
      <c r="K599" s="17"/>
      <c r="L599" s="17"/>
      <c r="M599" s="17"/>
      <c r="N599" s="17"/>
      <c r="O599" s="17"/>
      <c r="P599" s="17"/>
      <c r="Q599" s="21"/>
    </row>
    <row r="600" spans="1:17" x14ac:dyDescent="0.25">
      <c r="A600" s="12"/>
      <c r="B600" s="12"/>
      <c r="C600" s="14"/>
      <c r="D600" s="292"/>
      <c r="E600" s="17"/>
      <c r="F600" s="17"/>
      <c r="G600" s="17"/>
      <c r="H600" s="17"/>
      <c r="I600" s="17"/>
      <c r="J600" s="17"/>
      <c r="K600" s="17"/>
      <c r="L600" s="17"/>
      <c r="M600" s="17"/>
      <c r="N600" s="17"/>
      <c r="O600" s="17"/>
      <c r="P600" s="17"/>
      <c r="Q600" s="21"/>
    </row>
    <row r="601" spans="1:17" x14ac:dyDescent="0.25">
      <c r="A601" s="12"/>
      <c r="B601" s="12"/>
      <c r="C601" s="14"/>
      <c r="D601" s="292"/>
      <c r="E601" s="17"/>
      <c r="F601" s="17"/>
      <c r="G601" s="17"/>
      <c r="H601" s="17"/>
      <c r="I601" s="17"/>
      <c r="J601" s="17"/>
      <c r="K601" s="17"/>
      <c r="L601" s="17"/>
      <c r="M601" s="17"/>
      <c r="N601" s="17"/>
      <c r="O601" s="17"/>
      <c r="P601" s="17"/>
      <c r="Q601" s="21"/>
    </row>
    <row r="602" spans="1:17" x14ac:dyDescent="0.25">
      <c r="A602" s="12"/>
      <c r="B602" s="12"/>
      <c r="C602" s="14"/>
      <c r="D602" s="292"/>
      <c r="E602" s="17"/>
      <c r="F602" s="17"/>
      <c r="G602" s="17"/>
      <c r="H602" s="17"/>
      <c r="I602" s="17"/>
      <c r="J602" s="17"/>
      <c r="K602" s="17"/>
      <c r="L602" s="17"/>
      <c r="M602" s="17"/>
      <c r="N602" s="17"/>
      <c r="O602" s="17"/>
      <c r="P602" s="17"/>
      <c r="Q602" s="21"/>
    </row>
    <row r="603" spans="1:17" x14ac:dyDescent="0.25">
      <c r="A603" s="12"/>
      <c r="B603" s="12"/>
      <c r="C603" s="14"/>
      <c r="D603" s="292"/>
      <c r="E603" s="17"/>
      <c r="F603" s="17"/>
      <c r="G603" s="17"/>
      <c r="H603" s="17"/>
      <c r="I603" s="17"/>
      <c r="J603" s="17"/>
      <c r="K603" s="17"/>
      <c r="L603" s="17"/>
      <c r="M603" s="17"/>
      <c r="N603" s="17"/>
      <c r="O603" s="17"/>
      <c r="P603" s="17"/>
      <c r="Q603" s="21"/>
    </row>
    <row r="604" spans="1:17" x14ac:dyDescent="0.25">
      <c r="A604" s="12"/>
      <c r="B604" s="12"/>
      <c r="C604" s="14"/>
      <c r="D604" s="292"/>
      <c r="E604" s="17"/>
      <c r="F604" s="17"/>
      <c r="G604" s="17"/>
      <c r="H604" s="17"/>
      <c r="I604" s="17"/>
      <c r="J604" s="17"/>
      <c r="K604" s="17"/>
      <c r="L604" s="17"/>
      <c r="M604" s="17"/>
      <c r="N604" s="17"/>
      <c r="O604" s="17"/>
      <c r="P604" s="17"/>
      <c r="Q604" s="21"/>
    </row>
    <row r="605" spans="1:17" x14ac:dyDescent="0.25">
      <c r="A605" s="12"/>
      <c r="B605" s="12"/>
      <c r="C605" s="14"/>
      <c r="D605" s="292"/>
      <c r="E605" s="17"/>
      <c r="F605" s="17"/>
      <c r="G605" s="17"/>
      <c r="H605" s="17"/>
      <c r="I605" s="17"/>
      <c r="J605" s="17"/>
      <c r="K605" s="17"/>
      <c r="L605" s="17"/>
      <c r="M605" s="17"/>
      <c r="N605" s="17"/>
      <c r="O605" s="17"/>
      <c r="P605" s="17"/>
      <c r="Q605" s="21"/>
    </row>
    <row r="606" spans="1:17" x14ac:dyDescent="0.25">
      <c r="A606" s="12"/>
      <c r="B606" s="12"/>
      <c r="C606" s="14"/>
      <c r="D606" s="292"/>
      <c r="E606" s="17"/>
      <c r="F606" s="17"/>
      <c r="G606" s="17"/>
      <c r="H606" s="17"/>
      <c r="I606" s="17"/>
      <c r="J606" s="17"/>
      <c r="K606" s="17"/>
      <c r="L606" s="17"/>
      <c r="M606" s="17"/>
      <c r="N606" s="17"/>
      <c r="O606" s="17"/>
      <c r="P606" s="17"/>
      <c r="Q606" s="21"/>
    </row>
    <row r="607" spans="1:17" x14ac:dyDescent="0.25">
      <c r="A607" s="12"/>
      <c r="B607" s="12"/>
      <c r="C607" s="14"/>
      <c r="D607" s="292"/>
      <c r="E607" s="17"/>
      <c r="F607" s="17"/>
      <c r="G607" s="17"/>
      <c r="H607" s="17"/>
      <c r="I607" s="17"/>
      <c r="J607" s="17"/>
      <c r="K607" s="17"/>
      <c r="L607" s="17"/>
      <c r="M607" s="17"/>
      <c r="N607" s="17"/>
      <c r="O607" s="17"/>
      <c r="P607" s="17"/>
      <c r="Q607" s="21"/>
    </row>
    <row r="608" spans="1:17" x14ac:dyDescent="0.25">
      <c r="A608" s="12"/>
      <c r="B608" s="12"/>
      <c r="C608" s="14"/>
      <c r="D608" s="292"/>
      <c r="E608" s="17"/>
      <c r="F608" s="17"/>
      <c r="G608" s="17"/>
      <c r="H608" s="17"/>
      <c r="I608" s="17"/>
      <c r="J608" s="17"/>
      <c r="K608" s="17"/>
      <c r="L608" s="17"/>
      <c r="M608" s="17"/>
      <c r="N608" s="17"/>
      <c r="O608" s="17"/>
      <c r="P608" s="17"/>
      <c r="Q608" s="21"/>
    </row>
    <row r="609" spans="1:17" x14ac:dyDescent="0.25">
      <c r="A609" s="12"/>
      <c r="B609" s="12"/>
      <c r="C609" s="14"/>
      <c r="D609" s="292"/>
      <c r="E609" s="17"/>
      <c r="F609" s="17"/>
      <c r="G609" s="17"/>
      <c r="H609" s="17"/>
      <c r="I609" s="17"/>
      <c r="J609" s="17"/>
      <c r="K609" s="17"/>
      <c r="L609" s="17"/>
      <c r="M609" s="17"/>
      <c r="N609" s="17"/>
      <c r="O609" s="17"/>
      <c r="P609" s="17"/>
      <c r="Q609" s="21"/>
    </row>
    <row r="610" spans="1:17" x14ac:dyDescent="0.25">
      <c r="A610" s="12"/>
      <c r="B610" s="12"/>
      <c r="C610" s="14"/>
      <c r="D610" s="292"/>
      <c r="E610" s="17"/>
      <c r="F610" s="17"/>
      <c r="G610" s="17"/>
      <c r="H610" s="17"/>
      <c r="I610" s="17"/>
      <c r="J610" s="17"/>
      <c r="K610" s="17"/>
      <c r="L610" s="17"/>
      <c r="M610" s="17"/>
      <c r="N610" s="17"/>
      <c r="O610" s="17"/>
      <c r="P610" s="17"/>
      <c r="Q610" s="21"/>
    </row>
    <row r="611" spans="1:17" x14ac:dyDescent="0.25">
      <c r="A611" s="12"/>
      <c r="B611" s="12"/>
      <c r="C611" s="14"/>
      <c r="D611" s="292"/>
      <c r="E611" s="17"/>
      <c r="F611" s="17"/>
      <c r="G611" s="17"/>
      <c r="H611" s="17"/>
      <c r="I611" s="17"/>
      <c r="J611" s="17"/>
      <c r="K611" s="17"/>
      <c r="L611" s="17"/>
      <c r="M611" s="17"/>
      <c r="N611" s="17"/>
      <c r="O611" s="17"/>
      <c r="P611" s="17"/>
      <c r="Q611" s="21"/>
    </row>
    <row r="612" spans="1:17" x14ac:dyDescent="0.25">
      <c r="A612" s="12"/>
      <c r="B612" s="12"/>
      <c r="C612" s="14"/>
      <c r="D612" s="292"/>
      <c r="E612" s="17"/>
      <c r="F612" s="17"/>
      <c r="G612" s="17"/>
      <c r="H612" s="17"/>
      <c r="I612" s="17"/>
      <c r="J612" s="17"/>
      <c r="K612" s="17"/>
      <c r="L612" s="17"/>
      <c r="M612" s="17"/>
      <c r="N612" s="17"/>
      <c r="O612" s="17"/>
      <c r="P612" s="17"/>
      <c r="Q612" s="21"/>
    </row>
    <row r="613" spans="1:17" x14ac:dyDescent="0.25">
      <c r="C613" s="8"/>
      <c r="E613" s="14"/>
      <c r="F613" s="14"/>
      <c r="G613" s="14"/>
      <c r="H613" s="14"/>
      <c r="I613" s="14"/>
      <c r="J613" s="14"/>
      <c r="K613" s="14"/>
      <c r="L613" s="14"/>
      <c r="M613" s="14"/>
      <c r="N613" s="14"/>
      <c r="O613" s="14"/>
      <c r="P613" s="14"/>
    </row>
    <row r="614" spans="1:17" x14ac:dyDescent="0.25">
      <c r="A614" s="22"/>
      <c r="B614" s="22"/>
      <c r="C614" s="22"/>
      <c r="D614" s="301"/>
      <c r="E614" s="17"/>
      <c r="F614" s="17"/>
      <c r="G614" s="17"/>
      <c r="H614" s="17"/>
      <c r="I614" s="17"/>
      <c r="J614" s="17"/>
      <c r="K614" s="17"/>
      <c r="L614" s="17"/>
      <c r="M614" s="17"/>
      <c r="N614" s="17"/>
      <c r="O614" s="17"/>
      <c r="P614" s="17"/>
      <c r="Q614" s="21"/>
    </row>
    <row r="615" spans="1:17" x14ac:dyDescent="0.25">
      <c r="A615" s="12"/>
      <c r="B615" s="12"/>
      <c r="C615" s="14"/>
      <c r="D615" s="301"/>
      <c r="E615" s="17"/>
      <c r="F615" s="17"/>
      <c r="G615" s="17"/>
      <c r="H615" s="17"/>
      <c r="I615" s="17"/>
      <c r="J615" s="17"/>
      <c r="K615" s="17"/>
      <c r="L615" s="17"/>
      <c r="M615" s="17"/>
      <c r="N615" s="17"/>
      <c r="O615" s="17"/>
      <c r="P615" s="17"/>
      <c r="Q615" s="21"/>
    </row>
    <row r="616" spans="1:17" x14ac:dyDescent="0.25">
      <c r="A616" s="12"/>
      <c r="B616" s="12"/>
      <c r="C616" s="14"/>
      <c r="D616" s="301"/>
      <c r="E616" s="17"/>
      <c r="F616" s="17"/>
      <c r="G616" s="17"/>
      <c r="H616" s="17"/>
      <c r="I616" s="17"/>
      <c r="J616" s="17"/>
      <c r="K616" s="17"/>
      <c r="L616" s="17"/>
      <c r="M616" s="17"/>
      <c r="N616" s="17"/>
      <c r="O616" s="17"/>
      <c r="P616" s="17"/>
      <c r="Q616" s="21"/>
    </row>
    <row r="617" spans="1:17" x14ac:dyDescent="0.25">
      <c r="A617" s="12"/>
      <c r="B617" s="12"/>
      <c r="C617" s="14"/>
      <c r="D617" s="301"/>
      <c r="E617" s="17"/>
      <c r="F617" s="17"/>
      <c r="G617" s="17"/>
      <c r="H617" s="17"/>
      <c r="I617" s="17"/>
      <c r="J617" s="17"/>
      <c r="K617" s="17"/>
      <c r="L617" s="17"/>
      <c r="M617" s="17"/>
      <c r="N617" s="17"/>
      <c r="O617" s="17"/>
      <c r="P617" s="17"/>
      <c r="Q617" s="21"/>
    </row>
    <row r="618" spans="1:17" x14ac:dyDescent="0.25">
      <c r="A618" s="12"/>
      <c r="B618" s="12"/>
      <c r="C618" s="14"/>
      <c r="D618" s="301"/>
      <c r="E618" s="17"/>
      <c r="F618" s="17"/>
      <c r="G618" s="17"/>
      <c r="H618" s="17"/>
      <c r="I618" s="17"/>
      <c r="J618" s="17"/>
      <c r="K618" s="17"/>
      <c r="L618" s="17"/>
      <c r="M618" s="17"/>
      <c r="N618" s="17"/>
      <c r="O618" s="17"/>
      <c r="P618" s="17"/>
      <c r="Q618" s="21"/>
    </row>
    <row r="619" spans="1:17" x14ac:dyDescent="0.25">
      <c r="A619" s="12"/>
      <c r="B619" s="12"/>
      <c r="C619" s="14"/>
      <c r="D619" s="301"/>
      <c r="E619" s="17"/>
      <c r="F619" s="17"/>
      <c r="G619" s="17"/>
      <c r="H619" s="17"/>
      <c r="I619" s="17"/>
      <c r="J619" s="17"/>
      <c r="K619" s="17"/>
      <c r="L619" s="17"/>
      <c r="M619" s="17"/>
      <c r="N619" s="17"/>
      <c r="O619" s="17"/>
      <c r="P619" s="17"/>
      <c r="Q619" s="21"/>
    </row>
    <row r="620" spans="1:17" x14ac:dyDescent="0.25">
      <c r="A620" s="12"/>
      <c r="B620" s="12"/>
      <c r="C620" s="14"/>
      <c r="D620" s="301"/>
      <c r="E620" s="17"/>
      <c r="F620" s="17"/>
      <c r="G620" s="17"/>
      <c r="H620" s="17"/>
      <c r="I620" s="17"/>
      <c r="J620" s="17"/>
      <c r="K620" s="17"/>
      <c r="L620" s="17"/>
      <c r="M620" s="17"/>
      <c r="N620" s="17"/>
      <c r="O620" s="17"/>
      <c r="P620" s="17"/>
      <c r="Q620" s="21"/>
    </row>
    <row r="621" spans="1:17" x14ac:dyDescent="0.25">
      <c r="A621" s="12"/>
      <c r="B621" s="12"/>
      <c r="C621" s="14"/>
      <c r="D621" s="301"/>
      <c r="E621" s="17"/>
      <c r="F621" s="17"/>
      <c r="G621" s="17"/>
      <c r="H621" s="17"/>
      <c r="I621" s="17"/>
      <c r="J621" s="17"/>
      <c r="K621" s="17"/>
      <c r="L621" s="17"/>
      <c r="M621" s="17"/>
      <c r="N621" s="17"/>
      <c r="O621" s="17"/>
      <c r="P621" s="17"/>
      <c r="Q621" s="21"/>
    </row>
    <row r="622" spans="1:17" x14ac:dyDescent="0.25">
      <c r="A622" s="12"/>
      <c r="B622" s="12"/>
      <c r="C622" s="14"/>
      <c r="D622" s="301"/>
      <c r="E622" s="17"/>
      <c r="F622" s="17"/>
      <c r="G622" s="17"/>
      <c r="H622" s="17"/>
      <c r="I622" s="17"/>
      <c r="J622" s="17"/>
      <c r="K622" s="17"/>
      <c r="L622" s="17"/>
      <c r="M622" s="17"/>
      <c r="N622" s="17"/>
      <c r="O622" s="17"/>
      <c r="P622" s="17"/>
      <c r="Q622" s="21"/>
    </row>
    <row r="623" spans="1:17" x14ac:dyDescent="0.25">
      <c r="A623" s="12"/>
      <c r="B623" s="12"/>
      <c r="C623" s="14"/>
      <c r="D623" s="301"/>
      <c r="E623" s="17"/>
      <c r="F623" s="17"/>
      <c r="G623" s="17"/>
      <c r="H623" s="17"/>
      <c r="I623" s="17"/>
      <c r="J623" s="17"/>
      <c r="K623" s="17"/>
      <c r="L623" s="17"/>
      <c r="M623" s="17"/>
      <c r="N623" s="17"/>
      <c r="O623" s="17"/>
      <c r="P623" s="17"/>
      <c r="Q623" s="21"/>
    </row>
    <row r="624" spans="1:17" x14ac:dyDescent="0.25">
      <c r="A624" s="12"/>
      <c r="B624" s="12"/>
      <c r="C624" s="14"/>
      <c r="D624" s="301"/>
      <c r="E624" s="17"/>
      <c r="F624" s="17"/>
      <c r="G624" s="17"/>
      <c r="H624" s="17"/>
      <c r="I624" s="17"/>
      <c r="J624" s="17"/>
      <c r="K624" s="17"/>
      <c r="L624" s="17"/>
      <c r="M624" s="17"/>
      <c r="N624" s="17"/>
      <c r="O624" s="17"/>
      <c r="P624" s="17"/>
      <c r="Q624" s="21"/>
    </row>
    <row r="625" spans="1:17" x14ac:dyDescent="0.25">
      <c r="A625" s="12"/>
      <c r="B625" s="12"/>
      <c r="C625" s="14"/>
      <c r="D625" s="301"/>
      <c r="E625" s="17"/>
      <c r="F625" s="17"/>
      <c r="G625" s="17"/>
      <c r="H625" s="17"/>
      <c r="I625" s="17"/>
      <c r="J625" s="17"/>
      <c r="K625" s="17"/>
      <c r="L625" s="17"/>
      <c r="M625" s="17"/>
      <c r="N625" s="17"/>
      <c r="O625" s="17"/>
      <c r="P625" s="17"/>
      <c r="Q625" s="21"/>
    </row>
    <row r="626" spans="1:17" x14ac:dyDescent="0.25">
      <c r="A626" s="12"/>
      <c r="B626" s="12"/>
      <c r="C626" s="14"/>
      <c r="D626" s="301"/>
      <c r="E626" s="17"/>
      <c r="F626" s="17"/>
      <c r="G626" s="17"/>
      <c r="H626" s="17"/>
      <c r="I626" s="17"/>
      <c r="J626" s="17"/>
      <c r="K626" s="17"/>
      <c r="L626" s="17"/>
      <c r="M626" s="17"/>
      <c r="N626" s="17"/>
      <c r="O626" s="17"/>
      <c r="P626" s="17"/>
      <c r="Q626" s="21"/>
    </row>
    <row r="627" spans="1:17" x14ac:dyDescent="0.25">
      <c r="A627" s="12"/>
      <c r="B627" s="12"/>
      <c r="C627" s="14"/>
      <c r="D627" s="301"/>
      <c r="E627" s="17"/>
      <c r="F627" s="17"/>
      <c r="G627" s="17"/>
      <c r="H627" s="17"/>
      <c r="I627" s="17"/>
      <c r="J627" s="17"/>
      <c r="K627" s="17"/>
      <c r="L627" s="17"/>
      <c r="M627" s="17"/>
      <c r="N627" s="17"/>
      <c r="O627" s="17"/>
      <c r="P627" s="17"/>
      <c r="Q627" s="21"/>
    </row>
    <row r="628" spans="1:17" x14ac:dyDescent="0.25">
      <c r="A628" s="22"/>
      <c r="B628" s="22"/>
      <c r="C628" s="22"/>
      <c r="D628" s="301"/>
      <c r="E628" s="14"/>
      <c r="F628" s="14"/>
      <c r="G628" s="14"/>
      <c r="H628" s="14"/>
      <c r="I628" s="14"/>
      <c r="J628" s="14"/>
      <c r="K628" s="14"/>
      <c r="L628" s="14"/>
      <c r="M628" s="14"/>
      <c r="N628" s="14"/>
      <c r="O628" s="14"/>
      <c r="P628" s="14"/>
      <c r="Q628" s="21"/>
    </row>
    <row r="629" spans="1:17" x14ac:dyDescent="0.25">
      <c r="A629" s="22"/>
      <c r="B629" s="22"/>
      <c r="C629" s="22"/>
      <c r="D629" s="301"/>
      <c r="E629" s="17"/>
      <c r="F629" s="17"/>
      <c r="G629" s="17"/>
      <c r="H629" s="17"/>
      <c r="I629" s="17"/>
      <c r="J629" s="17"/>
      <c r="K629" s="17"/>
      <c r="L629" s="17"/>
      <c r="M629" s="17"/>
      <c r="N629" s="17"/>
      <c r="O629" s="17"/>
      <c r="P629" s="17"/>
      <c r="Q629" s="21"/>
    </row>
    <row r="630" spans="1:17" x14ac:dyDescent="0.25">
      <c r="A630" s="12"/>
      <c r="B630" s="12"/>
      <c r="C630" s="14"/>
      <c r="D630" s="301"/>
      <c r="E630" s="17"/>
      <c r="F630" s="17"/>
      <c r="G630" s="17"/>
      <c r="H630" s="17"/>
      <c r="I630" s="17"/>
      <c r="J630" s="17"/>
      <c r="K630" s="17"/>
      <c r="L630" s="17"/>
      <c r="M630" s="17"/>
      <c r="N630" s="17"/>
      <c r="O630" s="17"/>
      <c r="P630" s="17"/>
      <c r="Q630" s="21"/>
    </row>
    <row r="631" spans="1:17" x14ac:dyDescent="0.25">
      <c r="A631" s="12"/>
      <c r="B631" s="12"/>
      <c r="C631" s="14"/>
      <c r="D631" s="301"/>
      <c r="E631" s="17"/>
      <c r="F631" s="17"/>
      <c r="G631" s="17"/>
      <c r="H631" s="17"/>
      <c r="I631" s="17"/>
      <c r="J631" s="17"/>
      <c r="K631" s="17"/>
      <c r="L631" s="17"/>
      <c r="M631" s="17"/>
      <c r="N631" s="17"/>
      <c r="O631" s="17"/>
      <c r="P631" s="17"/>
      <c r="Q631" s="21"/>
    </row>
    <row r="632" spans="1:17" x14ac:dyDescent="0.25">
      <c r="A632" s="12"/>
      <c r="B632" s="12"/>
      <c r="C632" s="14"/>
      <c r="D632" s="301"/>
      <c r="E632" s="17"/>
      <c r="F632" s="17"/>
      <c r="G632" s="17"/>
      <c r="H632" s="17"/>
      <c r="I632" s="17"/>
      <c r="J632" s="17"/>
      <c r="K632" s="17"/>
      <c r="L632" s="17"/>
      <c r="M632" s="17"/>
      <c r="N632" s="17"/>
      <c r="O632" s="17"/>
      <c r="P632" s="17"/>
      <c r="Q632" s="21"/>
    </row>
    <row r="633" spans="1:17" x14ac:dyDescent="0.25">
      <c r="A633" s="12"/>
      <c r="B633" s="12"/>
      <c r="C633" s="14"/>
      <c r="D633" s="301"/>
      <c r="E633" s="17"/>
      <c r="F633" s="17"/>
      <c r="G633" s="17"/>
      <c r="H633" s="17"/>
      <c r="I633" s="17"/>
      <c r="J633" s="17"/>
      <c r="K633" s="17"/>
      <c r="L633" s="17"/>
      <c r="M633" s="17"/>
      <c r="N633" s="17"/>
      <c r="O633" s="17"/>
      <c r="P633" s="17"/>
      <c r="Q633" s="21"/>
    </row>
    <row r="634" spans="1:17" x14ac:dyDescent="0.25">
      <c r="A634" s="12"/>
      <c r="B634" s="12"/>
      <c r="C634" s="14"/>
      <c r="D634" s="301"/>
      <c r="E634" s="17"/>
      <c r="F634" s="17"/>
      <c r="G634" s="17"/>
      <c r="H634" s="17"/>
      <c r="I634" s="17"/>
      <c r="J634" s="17"/>
      <c r="K634" s="17"/>
      <c r="L634" s="17"/>
      <c r="M634" s="17"/>
      <c r="N634" s="17"/>
      <c r="O634" s="17"/>
      <c r="P634" s="17"/>
      <c r="Q634" s="21"/>
    </row>
    <row r="635" spans="1:17" x14ac:dyDescent="0.25">
      <c r="A635" s="12"/>
      <c r="B635" s="12"/>
      <c r="C635" s="14"/>
      <c r="D635" s="301"/>
      <c r="E635" s="17"/>
      <c r="F635" s="17"/>
      <c r="G635" s="17"/>
      <c r="H635" s="17"/>
      <c r="I635" s="17"/>
      <c r="J635" s="17"/>
      <c r="K635" s="17"/>
      <c r="L635" s="17"/>
      <c r="M635" s="17"/>
      <c r="N635" s="17"/>
      <c r="O635" s="17"/>
      <c r="P635" s="17"/>
      <c r="Q635" s="21"/>
    </row>
    <row r="636" spans="1:17" x14ac:dyDescent="0.25">
      <c r="A636" s="12"/>
      <c r="B636" s="12"/>
      <c r="C636" s="14"/>
      <c r="D636" s="301"/>
      <c r="E636" s="17"/>
      <c r="F636" s="17"/>
      <c r="G636" s="17"/>
      <c r="H636" s="17"/>
      <c r="I636" s="17"/>
      <c r="J636" s="17"/>
      <c r="K636" s="17"/>
      <c r="L636" s="17"/>
      <c r="M636" s="17"/>
      <c r="N636" s="17"/>
      <c r="O636" s="17"/>
      <c r="P636" s="17"/>
      <c r="Q636" s="21"/>
    </row>
    <row r="637" spans="1:17" x14ac:dyDescent="0.25">
      <c r="A637" s="12"/>
      <c r="B637" s="12"/>
      <c r="C637" s="14"/>
      <c r="D637" s="301"/>
      <c r="E637" s="17"/>
      <c r="F637" s="17"/>
      <c r="G637" s="17"/>
      <c r="H637" s="17"/>
      <c r="I637" s="17"/>
      <c r="J637" s="17"/>
      <c r="K637" s="17"/>
      <c r="L637" s="17"/>
      <c r="M637" s="17"/>
      <c r="N637" s="17"/>
      <c r="O637" s="17"/>
      <c r="P637" s="17"/>
      <c r="Q637" s="21"/>
    </row>
    <row r="638" spans="1:17" x14ac:dyDescent="0.25">
      <c r="A638" s="12"/>
      <c r="B638" s="12"/>
      <c r="C638" s="14"/>
      <c r="D638" s="301"/>
      <c r="E638" s="17"/>
      <c r="F638" s="17"/>
      <c r="G638" s="17"/>
      <c r="H638" s="17"/>
      <c r="I638" s="17"/>
      <c r="J638" s="17"/>
      <c r="K638" s="17"/>
      <c r="L638" s="17"/>
      <c r="M638" s="17"/>
      <c r="N638" s="17"/>
      <c r="O638" s="17"/>
      <c r="P638" s="17"/>
      <c r="Q638" s="21"/>
    </row>
    <row r="639" spans="1:17" x14ac:dyDescent="0.25">
      <c r="A639" s="12"/>
      <c r="B639" s="12"/>
      <c r="C639" s="14"/>
      <c r="D639" s="301"/>
      <c r="E639" s="17"/>
      <c r="F639" s="17"/>
      <c r="G639" s="17"/>
      <c r="H639" s="17"/>
      <c r="I639" s="17"/>
      <c r="J639" s="17"/>
      <c r="K639" s="17"/>
      <c r="L639" s="17"/>
      <c r="M639" s="17"/>
      <c r="N639" s="17"/>
      <c r="O639" s="17"/>
      <c r="P639" s="17"/>
      <c r="Q639" s="21"/>
    </row>
    <row r="640" spans="1:17" x14ac:dyDescent="0.25">
      <c r="A640" s="12"/>
      <c r="B640" s="12"/>
      <c r="C640" s="14"/>
      <c r="D640" s="301"/>
      <c r="E640" s="17"/>
      <c r="F640" s="17"/>
      <c r="G640" s="17"/>
      <c r="H640" s="17"/>
      <c r="I640" s="17"/>
      <c r="J640" s="17"/>
      <c r="K640" s="17"/>
      <c r="L640" s="17"/>
      <c r="M640" s="17"/>
      <c r="N640" s="17"/>
      <c r="O640" s="17"/>
      <c r="P640" s="17"/>
      <c r="Q640" s="21"/>
    </row>
    <row r="641" spans="1:17" x14ac:dyDescent="0.25">
      <c r="A641" s="12"/>
      <c r="B641" s="12"/>
      <c r="C641" s="14"/>
      <c r="D641" s="301"/>
      <c r="E641" s="17"/>
      <c r="F641" s="17"/>
      <c r="G641" s="17"/>
      <c r="H641" s="17"/>
      <c r="I641" s="17"/>
      <c r="J641" s="17"/>
      <c r="K641" s="17"/>
      <c r="L641" s="17"/>
      <c r="M641" s="17"/>
      <c r="N641" s="17"/>
      <c r="O641" s="17"/>
      <c r="P641" s="17"/>
      <c r="Q641" s="21"/>
    </row>
    <row r="642" spans="1:17" x14ac:dyDescent="0.25">
      <c r="A642" s="12"/>
      <c r="B642" s="12"/>
      <c r="C642" s="14"/>
      <c r="D642" s="301"/>
      <c r="E642" s="17"/>
      <c r="F642" s="17"/>
      <c r="G642" s="17"/>
      <c r="H642" s="17"/>
      <c r="I642" s="17"/>
      <c r="J642" s="17"/>
      <c r="K642" s="17"/>
      <c r="L642" s="17"/>
      <c r="M642" s="17"/>
      <c r="N642" s="17"/>
      <c r="O642" s="17"/>
      <c r="P642" s="17"/>
      <c r="Q642" s="21"/>
    </row>
    <row r="643" spans="1:17" x14ac:dyDescent="0.25">
      <c r="A643" s="22"/>
      <c r="B643" s="22"/>
      <c r="C643" s="22"/>
      <c r="D643" s="301"/>
      <c r="E643" s="14"/>
      <c r="F643" s="14"/>
      <c r="G643" s="14"/>
      <c r="H643" s="14"/>
      <c r="I643" s="14"/>
      <c r="J643" s="14"/>
      <c r="K643" s="14"/>
      <c r="L643" s="14"/>
      <c r="M643" s="14"/>
      <c r="N643" s="14"/>
      <c r="O643" s="14"/>
      <c r="P643" s="14"/>
      <c r="Q643" s="21"/>
    </row>
    <row r="644" spans="1:17" x14ac:dyDescent="0.25">
      <c r="A644" s="22"/>
      <c r="B644" s="22"/>
      <c r="C644" s="22"/>
      <c r="D644" s="301"/>
      <c r="E644" s="17"/>
      <c r="F644" s="17"/>
      <c r="G644" s="17"/>
      <c r="H644" s="17"/>
      <c r="I644" s="17"/>
      <c r="J644" s="17"/>
      <c r="K644" s="17"/>
      <c r="L644" s="17"/>
      <c r="M644" s="17"/>
      <c r="N644" s="17"/>
      <c r="O644" s="17"/>
      <c r="P644" s="17"/>
      <c r="Q644" s="21"/>
    </row>
    <row r="645" spans="1:17" x14ac:dyDescent="0.25">
      <c r="A645" s="12"/>
      <c r="B645" s="12"/>
      <c r="C645" s="22"/>
      <c r="D645" s="301"/>
      <c r="E645" s="17"/>
      <c r="F645" s="17"/>
      <c r="G645" s="17"/>
      <c r="H645" s="17"/>
      <c r="I645" s="17"/>
      <c r="J645" s="17"/>
      <c r="K645" s="17"/>
      <c r="L645" s="17"/>
      <c r="M645" s="17"/>
      <c r="N645" s="17"/>
      <c r="O645" s="17"/>
      <c r="P645" s="17"/>
      <c r="Q645" s="21"/>
    </row>
    <row r="646" spans="1:17" x14ac:dyDescent="0.25">
      <c r="A646" s="12"/>
      <c r="B646" s="12"/>
      <c r="C646" s="22"/>
      <c r="D646" s="301"/>
      <c r="E646" s="17"/>
      <c r="F646" s="17"/>
      <c r="G646" s="17"/>
      <c r="H646" s="17"/>
      <c r="I646" s="17"/>
      <c r="J646" s="17"/>
      <c r="K646" s="17"/>
      <c r="L646" s="17"/>
      <c r="M646" s="17"/>
      <c r="N646" s="17"/>
      <c r="O646" s="17"/>
      <c r="P646" s="17"/>
      <c r="Q646" s="21"/>
    </row>
    <row r="647" spans="1:17" x14ac:dyDescent="0.25">
      <c r="A647" s="12"/>
      <c r="B647" s="12"/>
      <c r="C647" s="22"/>
      <c r="D647" s="301"/>
      <c r="E647" s="17"/>
      <c r="F647" s="17"/>
      <c r="G647" s="17"/>
      <c r="H647" s="17"/>
      <c r="I647" s="17"/>
      <c r="J647" s="17"/>
      <c r="K647" s="17"/>
      <c r="L647" s="17"/>
      <c r="M647" s="17"/>
      <c r="N647" s="17"/>
      <c r="O647" s="17"/>
      <c r="P647" s="17"/>
      <c r="Q647" s="21"/>
    </row>
    <row r="648" spans="1:17" x14ac:dyDescent="0.25">
      <c r="A648" s="12"/>
      <c r="B648" s="12"/>
      <c r="C648" s="22"/>
      <c r="D648" s="301"/>
      <c r="E648" s="17"/>
      <c r="F648" s="17"/>
      <c r="G648" s="17"/>
      <c r="H648" s="17"/>
      <c r="I648" s="17"/>
      <c r="J648" s="17"/>
      <c r="K648" s="17"/>
      <c r="L648" s="17"/>
      <c r="M648" s="17"/>
      <c r="N648" s="17"/>
      <c r="O648" s="17"/>
      <c r="P648" s="17"/>
      <c r="Q648" s="21"/>
    </row>
    <row r="649" spans="1:17" x14ac:dyDescent="0.25">
      <c r="A649" s="12"/>
      <c r="B649" s="12"/>
      <c r="C649" s="22"/>
      <c r="D649" s="301"/>
      <c r="E649" s="17"/>
      <c r="F649" s="17"/>
      <c r="G649" s="17"/>
      <c r="H649" s="17"/>
      <c r="I649" s="17"/>
      <c r="J649" s="17"/>
      <c r="K649" s="17"/>
      <c r="L649" s="17"/>
      <c r="M649" s="17"/>
      <c r="N649" s="17"/>
      <c r="O649" s="17"/>
      <c r="P649" s="17"/>
      <c r="Q649" s="21"/>
    </row>
    <row r="650" spans="1:17" x14ac:dyDescent="0.25">
      <c r="A650" s="12"/>
      <c r="B650" s="12"/>
      <c r="C650" s="22"/>
      <c r="D650" s="301"/>
      <c r="E650" s="17"/>
      <c r="F650" s="17"/>
      <c r="G650" s="17"/>
      <c r="H650" s="17"/>
      <c r="I650" s="17"/>
      <c r="J650" s="17"/>
      <c r="K650" s="17"/>
      <c r="L650" s="17"/>
      <c r="M650" s="17"/>
      <c r="N650" s="17"/>
      <c r="O650" s="17"/>
      <c r="P650" s="17"/>
      <c r="Q650" s="21"/>
    </row>
    <row r="651" spans="1:17" x14ac:dyDescent="0.25">
      <c r="A651" s="12"/>
      <c r="B651" s="12"/>
      <c r="C651" s="22"/>
      <c r="D651" s="301"/>
      <c r="E651" s="17"/>
      <c r="F651" s="17"/>
      <c r="G651" s="17"/>
      <c r="H651" s="17"/>
      <c r="I651" s="17"/>
      <c r="J651" s="17"/>
      <c r="K651" s="17"/>
      <c r="L651" s="17"/>
      <c r="M651" s="17"/>
      <c r="N651" s="17"/>
      <c r="O651" s="17"/>
      <c r="P651" s="17"/>
      <c r="Q651" s="21"/>
    </row>
    <row r="652" spans="1:17" x14ac:dyDescent="0.25">
      <c r="A652" s="12"/>
      <c r="B652" s="12"/>
      <c r="C652" s="22"/>
      <c r="D652" s="301"/>
      <c r="E652" s="17"/>
      <c r="F652" s="17"/>
      <c r="G652" s="17"/>
      <c r="H652" s="17"/>
      <c r="I652" s="17"/>
      <c r="J652" s="17"/>
      <c r="K652" s="17"/>
      <c r="L652" s="17"/>
      <c r="M652" s="17"/>
      <c r="N652" s="17"/>
      <c r="O652" s="17"/>
      <c r="P652" s="17"/>
      <c r="Q652" s="21"/>
    </row>
    <row r="653" spans="1:17" x14ac:dyDescent="0.25">
      <c r="A653" s="12"/>
      <c r="B653" s="12"/>
      <c r="C653" s="22"/>
      <c r="D653" s="301"/>
      <c r="E653" s="17"/>
      <c r="F653" s="17"/>
      <c r="G653" s="17"/>
      <c r="H653" s="17"/>
      <c r="I653" s="17"/>
      <c r="J653" s="17"/>
      <c r="K653" s="17"/>
      <c r="L653" s="17"/>
      <c r="M653" s="17"/>
      <c r="N653" s="17"/>
      <c r="O653" s="17"/>
      <c r="P653" s="17"/>
      <c r="Q653" s="21"/>
    </row>
    <row r="654" spans="1:17" x14ac:dyDescent="0.25">
      <c r="A654" s="12"/>
      <c r="B654" s="12"/>
      <c r="C654" s="22"/>
      <c r="D654" s="301"/>
      <c r="E654" s="17"/>
      <c r="F654" s="17"/>
      <c r="G654" s="17"/>
      <c r="H654" s="17"/>
      <c r="I654" s="17"/>
      <c r="J654" s="17"/>
      <c r="K654" s="17"/>
      <c r="L654" s="17"/>
      <c r="M654" s="17"/>
      <c r="N654" s="17"/>
      <c r="O654" s="17"/>
      <c r="P654" s="17"/>
      <c r="Q654" s="21"/>
    </row>
    <row r="655" spans="1:17" x14ac:dyDescent="0.25">
      <c r="A655" s="12"/>
      <c r="B655" s="12"/>
      <c r="C655" s="22"/>
      <c r="D655" s="301"/>
      <c r="E655" s="17"/>
      <c r="F655" s="17"/>
      <c r="G655" s="17"/>
      <c r="H655" s="17"/>
      <c r="I655" s="17"/>
      <c r="J655" s="17"/>
      <c r="K655" s="17"/>
      <c r="L655" s="17"/>
      <c r="M655" s="17"/>
      <c r="N655" s="17"/>
      <c r="O655" s="17"/>
      <c r="P655" s="17"/>
      <c r="Q655" s="21"/>
    </row>
    <row r="656" spans="1:17" x14ac:dyDescent="0.25">
      <c r="A656" s="12"/>
      <c r="B656" s="12"/>
      <c r="C656" s="22"/>
      <c r="D656" s="301"/>
      <c r="E656" s="17"/>
      <c r="F656" s="17"/>
      <c r="G656" s="17"/>
      <c r="H656" s="17"/>
      <c r="I656" s="17"/>
      <c r="J656" s="17"/>
      <c r="K656" s="17"/>
      <c r="L656" s="17"/>
      <c r="M656" s="17"/>
      <c r="N656" s="17"/>
      <c r="O656" s="17"/>
      <c r="P656" s="17"/>
      <c r="Q656" s="21"/>
    </row>
    <row r="657" spans="1:17" x14ac:dyDescent="0.25">
      <c r="A657" s="12"/>
      <c r="B657" s="12"/>
      <c r="C657" s="22"/>
      <c r="D657" s="301"/>
      <c r="E657" s="17"/>
      <c r="F657" s="17"/>
      <c r="G657" s="17"/>
      <c r="H657" s="17"/>
      <c r="I657" s="17"/>
      <c r="J657" s="17"/>
      <c r="K657" s="17"/>
      <c r="L657" s="17"/>
      <c r="M657" s="17"/>
      <c r="N657" s="17"/>
      <c r="O657" s="17"/>
      <c r="P657" s="17"/>
      <c r="Q657" s="21"/>
    </row>
  </sheetData>
  <mergeCells count="2">
    <mergeCell ref="A4:B5"/>
    <mergeCell ref="D1:K1"/>
  </mergeCells>
  <phoneticPr fontId="2" type="noConversion"/>
  <pageMargins left="0.70866141732283472" right="0.70866141732283472" top="0.74803149606299213" bottom="0.74803149606299213" header="0.31496062992125984" footer="0.31496062992125984"/>
  <pageSetup paperSize="9" scale="69" fitToHeight="0" orientation="landscape" r:id="rId1"/>
  <headerFooter alignWithMargins="0">
    <oddHeader>&amp;L&amp;"Arial,Bold"&amp;12&amp;K01+049Приложение 1&amp;C&amp;"Arial,Bold"&amp;12&amp;K01+049Модел за изчисляване на броя необходими съдове и транспортни средства</oddHeader>
    <oddFooter>&amp;LMass balance&amp;R&amp;P</oddFooter>
  </headerFooter>
  <drawing r:id="rId2"/>
  <legacyDrawing r:id="rId3"/>
  <oleObjects>
    <mc:AlternateContent xmlns:mc="http://schemas.openxmlformats.org/markup-compatibility/2006">
      <mc:Choice Requires="x14">
        <oleObject progId="PBrush" shapeId="1028" r:id="rId4">
          <objectPr defaultSize="0" autoPict="0" r:id="rId5">
            <anchor moveWithCells="1" sizeWithCells="1">
              <from>
                <xdr:col>0</xdr:col>
                <xdr:colOff>2343150</xdr:colOff>
                <xdr:row>0</xdr:row>
                <xdr:rowOff>257175</xdr:rowOff>
              </from>
              <to>
                <xdr:col>0</xdr:col>
                <xdr:colOff>3333750</xdr:colOff>
                <xdr:row>0</xdr:row>
                <xdr:rowOff>1371600</xdr:rowOff>
              </to>
            </anchor>
          </objectPr>
        </oleObject>
      </mc:Choice>
      <mc:Fallback>
        <oleObject progId="PBrush" shapeId="1028"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Указания</vt:lpstr>
      <vt:lpstr>Изходни данни</vt:lpstr>
      <vt:lpstr>Допускания</vt:lpstr>
      <vt:lpstr>Резултати</vt:lpstr>
      <vt:lpstr>Контейнери&amp;автомобили</vt:lpstr>
      <vt:lpstr>Масов баланс</vt:lpstr>
      <vt:lpstr>Допускания!Print_Area</vt:lpstr>
      <vt:lpstr>'Изходни данни'!Print_Area</vt:lpstr>
      <vt:lpstr>'Контейнери&amp;автомобили'!Print_Area</vt:lpstr>
      <vt:lpstr>'Масов баланс'!Print_Area</vt:lpstr>
      <vt:lpstr>Резултати!Print_Area</vt:lpstr>
      <vt:lpstr>'Контейнери&amp;автомобили'!Print_Titles</vt:lpstr>
      <vt:lpstr>'Масов баланс'!Print_Titles</vt:lpstr>
      <vt:lpstr>Резултати!Print_Titles</vt:lpstr>
    </vt:vector>
  </TitlesOfParts>
  <Company>EPC-KOC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dc:creator>
  <cp:lastModifiedBy>Jaki Metodieva</cp:lastModifiedBy>
  <cp:lastPrinted>2024-01-04T12:57:05Z</cp:lastPrinted>
  <dcterms:created xsi:type="dcterms:W3CDTF">2009-04-21T07:06:22Z</dcterms:created>
  <dcterms:modified xsi:type="dcterms:W3CDTF">2024-01-04T13:05:37Z</dcterms:modified>
</cp:coreProperties>
</file>